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1_4F6DF4B95F6B850E12D7522B3DDC68201B432E7C" xr6:coauthVersionLast="47" xr6:coauthVersionMax="47" xr10:uidLastSave="{00000000-0000-0000-0000-000000000000}"/>
  <bookViews>
    <workbookView xWindow="0" yWindow="0" windowWidth="19200" windowHeight="6180" xr2:uid="{00000000-000D-0000-FFFF-FFFF00000000}"/>
  </bookViews>
  <sheets>
    <sheet name="Annual PnL" sheetId="1" r:id="rId1"/>
    <sheet name="Annual BS" sheetId="2" r:id="rId2"/>
    <sheet name="Annual CFS" sheetId="3" r:id="rId3"/>
    <sheet name="Detailed PnL" sheetId="4" r:id="rId4"/>
    <sheet name="Detailed BS" sheetId="5" r:id="rId5"/>
    <sheet name="Detailed CFS" sheetId="6" r:id="rId6"/>
    <sheet name="Revenue Buildup" sheetId="7" r:id="rId7"/>
    <sheet name="COGS Buildup" sheetId="8" r:id="rId8"/>
    <sheet name="Manpower" sheetId="9" r:id="rId9"/>
    <sheet name="Overheads" sheetId="10" r:id="rId10"/>
    <sheet name="CAPEX" sheetId="11" r:id="rId11"/>
    <sheet name="Working Capital" sheetId="12" r:id="rId12"/>
    <sheet name="other information" sheetId="13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7" roundtripDataChecksum="/j3r5IALGFRUSfSm+uNuMFtLAygfVOPKPlqPEQLmNVo="/>
    </ext>
  </extLst>
</workbook>
</file>

<file path=xl/calcChain.xml><?xml version="1.0" encoding="utf-8"?>
<calcChain xmlns="http://schemas.openxmlformats.org/spreadsheetml/2006/main">
  <c r="AR13" i="10" l="1"/>
  <c r="AE13" i="10"/>
  <c r="AF13" i="10" s="1"/>
  <c r="AG13" i="10" s="1"/>
  <c r="AH13" i="10" s="1"/>
  <c r="AI13" i="10" s="1"/>
  <c r="AJ13" i="10" s="1"/>
  <c r="AK13" i="10" s="1"/>
  <c r="AL13" i="10" s="1"/>
  <c r="AM13" i="10" s="1"/>
  <c r="AN13" i="10" s="1"/>
  <c r="AO13" i="10" s="1"/>
  <c r="AP13" i="10" s="1"/>
  <c r="J10" i="10"/>
  <c r="M10" i="10" s="1"/>
  <c r="P10" i="10" s="1"/>
  <c r="S10" i="10" s="1"/>
  <c r="V10" i="10" s="1"/>
  <c r="Y10" i="10" s="1"/>
  <c r="AB10" i="10" s="1"/>
  <c r="AR11" i="10"/>
  <c r="AR12" i="10"/>
  <c r="AR16" i="10"/>
  <c r="AU16" i="10" s="1"/>
  <c r="G16" i="10"/>
  <c r="H16" i="10" s="1"/>
  <c r="I16" i="10" s="1"/>
  <c r="J16" i="10" s="1"/>
  <c r="K16" i="10" s="1"/>
  <c r="L16" i="10" s="1"/>
  <c r="M16" i="10" s="1"/>
  <c r="N16" i="10" s="1"/>
  <c r="O16" i="10" s="1"/>
  <c r="P16" i="10" s="1"/>
  <c r="Q16" i="10" s="1"/>
  <c r="R16" i="10" s="1"/>
  <c r="S16" i="10" s="1"/>
  <c r="AR19" i="10"/>
  <c r="AU21" i="9"/>
  <c r="AR11" i="11"/>
  <c r="AR12" i="11"/>
  <c r="AQ11" i="11"/>
  <c r="AQ12" i="11"/>
  <c r="G10" i="11"/>
  <c r="H10" i="11"/>
  <c r="I10" i="11"/>
  <c r="J10" i="11"/>
  <c r="K10" i="11"/>
  <c r="L10" i="11"/>
  <c r="L17" i="11" s="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G11" i="11"/>
  <c r="G18" i="11" s="1"/>
  <c r="H11" i="11"/>
  <c r="H18" i="11" s="1"/>
  <c r="I11" i="11"/>
  <c r="I18" i="11" s="1"/>
  <c r="J11" i="11"/>
  <c r="J18" i="11" s="1"/>
  <c r="K11" i="11"/>
  <c r="K18" i="11" s="1"/>
  <c r="L11" i="11"/>
  <c r="L18" i="11" s="1"/>
  <c r="M11" i="11"/>
  <c r="M18" i="11" s="1"/>
  <c r="N11" i="11"/>
  <c r="N18" i="11" s="1"/>
  <c r="O11" i="11"/>
  <c r="O18" i="11" s="1"/>
  <c r="P11" i="11"/>
  <c r="P18" i="11" s="1"/>
  <c r="Q11" i="11"/>
  <c r="Q18" i="11" s="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G12" i="11"/>
  <c r="G19" i="11" s="1"/>
  <c r="H12" i="11"/>
  <c r="H19" i="11" s="1"/>
  <c r="I12" i="11"/>
  <c r="I19" i="11" s="1"/>
  <c r="J12" i="11"/>
  <c r="J19" i="11" s="1"/>
  <c r="K12" i="11"/>
  <c r="K19" i="11" s="1"/>
  <c r="L12" i="11"/>
  <c r="M12" i="11"/>
  <c r="M19" i="11" s="1"/>
  <c r="N12" i="11"/>
  <c r="N19" i="11" s="1"/>
  <c r="O12" i="11"/>
  <c r="O19" i="11" s="1"/>
  <c r="P12" i="11"/>
  <c r="P19" i="11" s="1"/>
  <c r="Q12" i="11"/>
  <c r="Q19" i="11" s="1"/>
  <c r="R12" i="11"/>
  <c r="S12" i="11"/>
  <c r="S13" i="11" s="1"/>
  <c r="T12" i="11"/>
  <c r="T13" i="11" s="1"/>
  <c r="U12" i="11"/>
  <c r="V12" i="11"/>
  <c r="W12" i="11"/>
  <c r="X12" i="11"/>
  <c r="Y12" i="11"/>
  <c r="Z12" i="11"/>
  <c r="AA12" i="11"/>
  <c r="AA13" i="11" s="1"/>
  <c r="AB12" i="11"/>
  <c r="AB13" i="11" s="1"/>
  <c r="AC12" i="11"/>
  <c r="AD12" i="11"/>
  <c r="AE12" i="11"/>
  <c r="AF12" i="11"/>
  <c r="AG12" i="11"/>
  <c r="AH12" i="11"/>
  <c r="AI12" i="11"/>
  <c r="AI13" i="11" s="1"/>
  <c r="AJ12" i="11"/>
  <c r="AJ13" i="11" s="1"/>
  <c r="AK12" i="11"/>
  <c r="AL12" i="11"/>
  <c r="AM12" i="11"/>
  <c r="AN12" i="11"/>
  <c r="AO12" i="11"/>
  <c r="F11" i="11"/>
  <c r="F18" i="11" s="1"/>
  <c r="F12" i="11"/>
  <c r="F19" i="11" s="1"/>
  <c r="F10" i="11"/>
  <c r="AV22" i="9"/>
  <c r="AU22" i="9"/>
  <c r="AV21" i="9"/>
  <c r="AV20" i="9"/>
  <c r="AU20" i="9"/>
  <c r="AV19" i="9"/>
  <c r="AU19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S22" i="9"/>
  <c r="S21" i="9"/>
  <c r="K21" i="9"/>
  <c r="L21" i="9"/>
  <c r="M21" i="9"/>
  <c r="N21" i="9"/>
  <c r="O21" i="9"/>
  <c r="P21" i="9"/>
  <c r="Q21" i="9"/>
  <c r="R21" i="9"/>
  <c r="K22" i="9"/>
  <c r="L22" i="9"/>
  <c r="M22" i="9"/>
  <c r="N22" i="9"/>
  <c r="O22" i="9"/>
  <c r="P22" i="9"/>
  <c r="Q22" i="9"/>
  <c r="R22" i="9"/>
  <c r="J22" i="9"/>
  <c r="J21" i="9"/>
  <c r="I22" i="9"/>
  <c r="I21" i="9"/>
  <c r="G22" i="9"/>
  <c r="H22" i="9"/>
  <c r="H21" i="9"/>
  <c r="G21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S20" i="9"/>
  <c r="S19" i="9"/>
  <c r="K20" i="9"/>
  <c r="L20" i="9"/>
  <c r="M20" i="9"/>
  <c r="N20" i="9"/>
  <c r="O20" i="9"/>
  <c r="P20" i="9"/>
  <c r="Q20" i="9"/>
  <c r="R20" i="9"/>
  <c r="J20" i="9"/>
  <c r="I20" i="9"/>
  <c r="H20" i="9"/>
  <c r="G20" i="9"/>
  <c r="B46" i="7"/>
  <c r="H19" i="9"/>
  <c r="I19" i="9"/>
  <c r="I23" i="9" s="1"/>
  <c r="G19" i="9"/>
  <c r="K19" i="9"/>
  <c r="L19" i="9"/>
  <c r="M19" i="9"/>
  <c r="N19" i="9"/>
  <c r="O19" i="9"/>
  <c r="P19" i="9"/>
  <c r="Q19" i="9"/>
  <c r="R19" i="9"/>
  <c r="J9" i="7"/>
  <c r="I9" i="7"/>
  <c r="J19" i="9"/>
  <c r="J23" i="9" s="1"/>
  <c r="D27" i="9"/>
  <c r="C46" i="7"/>
  <c r="M26" i="7"/>
  <c r="N26" i="7" s="1"/>
  <c r="O26" i="7" s="1"/>
  <c r="P26" i="7" s="1"/>
  <c r="Q26" i="7" s="1"/>
  <c r="R26" i="7" s="1"/>
  <c r="S26" i="7" s="1"/>
  <c r="T26" i="7" s="1"/>
  <c r="U26" i="7" s="1"/>
  <c r="V26" i="7" s="1"/>
  <c r="W26" i="7" s="1"/>
  <c r="X26" i="7" s="1"/>
  <c r="Y26" i="7" s="1"/>
  <c r="Z26" i="7" s="1"/>
  <c r="AA26" i="7" s="1"/>
  <c r="AB26" i="7" s="1"/>
  <c r="AC26" i="7" s="1"/>
  <c r="F18" i="7"/>
  <c r="G18" i="7" s="1"/>
  <c r="H18" i="7" s="1"/>
  <c r="I18" i="7" s="1"/>
  <c r="J18" i="7" s="1"/>
  <c r="AD26" i="7" l="1"/>
  <c r="AE26" i="7" s="1"/>
  <c r="AF26" i="7" s="1"/>
  <c r="AG26" i="7" s="1"/>
  <c r="AH26" i="7" s="1"/>
  <c r="AI26" i="7" s="1"/>
  <c r="AJ26" i="7" s="1"/>
  <c r="AK26" i="7" s="1"/>
  <c r="AL26" i="7" s="1"/>
  <c r="AM26" i="7" s="1"/>
  <c r="AN26" i="7" s="1"/>
  <c r="AS26" i="7"/>
  <c r="AT26" i="7" s="1"/>
  <c r="E27" i="9"/>
  <c r="AB18" i="11"/>
  <c r="AC18" i="11"/>
  <c r="S18" i="11"/>
  <c r="T18" i="11"/>
  <c r="U18" i="11"/>
  <c r="V18" i="11"/>
  <c r="W18" i="11"/>
  <c r="X18" i="11"/>
  <c r="Y18" i="11"/>
  <c r="Z18" i="11"/>
  <c r="AA18" i="11"/>
  <c r="R18" i="11"/>
  <c r="AP24" i="9"/>
  <c r="F13" i="11"/>
  <c r="F17" i="11"/>
  <c r="F20" i="11" s="1"/>
  <c r="L13" i="11"/>
  <c r="L19" i="11"/>
  <c r="AO13" i="11"/>
  <c r="AN13" i="11"/>
  <c r="AM13" i="11"/>
  <c r="AL13" i="11"/>
  <c r="AK13" i="11"/>
  <c r="AH13" i="11"/>
  <c r="AG13" i="11"/>
  <c r="AF13" i="11"/>
  <c r="AE13" i="11"/>
  <c r="AD13" i="11"/>
  <c r="AC13" i="11"/>
  <c r="Z13" i="11"/>
  <c r="Y13" i="11"/>
  <c r="X13" i="11"/>
  <c r="W13" i="11"/>
  <c r="V13" i="11"/>
  <c r="U13" i="11"/>
  <c r="R13" i="11"/>
  <c r="Q13" i="11"/>
  <c r="Q17" i="11"/>
  <c r="P13" i="11"/>
  <c r="P17" i="11"/>
  <c r="O13" i="11"/>
  <c r="O17" i="11"/>
  <c r="N13" i="11"/>
  <c r="N17" i="11"/>
  <c r="M13" i="11"/>
  <c r="M17" i="11"/>
  <c r="K17" i="11"/>
  <c r="K13" i="11"/>
  <c r="J17" i="11"/>
  <c r="J13" i="11"/>
  <c r="I17" i="11"/>
  <c r="I13" i="11"/>
  <c r="H13" i="11"/>
  <c r="H17" i="11"/>
  <c r="G13" i="11"/>
  <c r="G17" i="11"/>
  <c r="AE18" i="11" l="1"/>
  <c r="AF18" i="11"/>
  <c r="AG18" i="11"/>
  <c r="AH18" i="11"/>
  <c r="AI18" i="11"/>
  <c r="AJ18" i="11"/>
  <c r="AK18" i="11"/>
  <c r="AL18" i="11"/>
  <c r="AM18" i="11"/>
  <c r="AN18" i="11"/>
  <c r="AO18" i="11"/>
  <c r="AD18" i="11"/>
  <c r="AR27" i="9"/>
  <c r="I14" i="11"/>
  <c r="I22" i="11" s="1"/>
  <c r="F14" i="11"/>
  <c r="F22" i="11" s="1"/>
  <c r="AK14" i="11"/>
  <c r="AK22" i="11" s="1"/>
  <c r="AJ14" i="11"/>
  <c r="AJ22" i="11" s="1"/>
  <c r="AC14" i="11"/>
  <c r="AC22" i="11" s="1"/>
  <c r="AB14" i="11"/>
  <c r="AB22" i="11" s="1"/>
  <c r="Y14" i="11"/>
  <c r="Y22" i="11" s="1"/>
  <c r="T14" i="11"/>
  <c r="T22" i="11" s="1"/>
  <c r="AR10" i="11"/>
  <c r="AR13" i="11" s="1"/>
  <c r="AQ10" i="11"/>
  <c r="AQ13" i="11" s="1"/>
  <c r="AQ14" i="11" s="1"/>
  <c r="AQ22" i="11" s="1"/>
  <c r="G23" i="10"/>
  <c r="S23" i="10" s="1"/>
  <c r="AE23" i="10" s="1"/>
  <c r="AU23" i="10" s="1"/>
  <c r="AV23" i="10" s="1"/>
  <c r="AU19" i="10"/>
  <c r="AV19" i="10" s="1"/>
  <c r="G19" i="10"/>
  <c r="H19" i="10" s="1"/>
  <c r="I19" i="10" s="1"/>
  <c r="J19" i="10" s="1"/>
  <c r="K19" i="10" s="1"/>
  <c r="L19" i="10" s="1"/>
  <c r="M19" i="10" s="1"/>
  <c r="N19" i="10" s="1"/>
  <c r="O19" i="10" s="1"/>
  <c r="P19" i="10" s="1"/>
  <c r="Q19" i="10" s="1"/>
  <c r="R19" i="10" s="1"/>
  <c r="S19" i="10" s="1"/>
  <c r="T19" i="10" s="1"/>
  <c r="U19" i="10" s="1"/>
  <c r="V19" i="10" s="1"/>
  <c r="W19" i="10" s="1"/>
  <c r="X19" i="10" s="1"/>
  <c r="Y19" i="10" s="1"/>
  <c r="Z19" i="10" s="1"/>
  <c r="AA19" i="10" s="1"/>
  <c r="AB19" i="10" s="1"/>
  <c r="AC19" i="10" s="1"/>
  <c r="AD19" i="10" s="1"/>
  <c r="AE19" i="10" s="1"/>
  <c r="AF19" i="10" s="1"/>
  <c r="AG19" i="10" s="1"/>
  <c r="AH19" i="10" s="1"/>
  <c r="AI19" i="10" s="1"/>
  <c r="AJ19" i="10" s="1"/>
  <c r="AK19" i="10" s="1"/>
  <c r="AL19" i="10" s="1"/>
  <c r="AM19" i="10" s="1"/>
  <c r="AN19" i="10" s="1"/>
  <c r="AO19" i="10" s="1"/>
  <c r="AP19" i="10" s="1"/>
  <c r="AV16" i="10"/>
  <c r="T16" i="10"/>
  <c r="U16" i="10" s="1"/>
  <c r="V16" i="10" s="1"/>
  <c r="W16" i="10" s="1"/>
  <c r="X16" i="10" s="1"/>
  <c r="Y16" i="10" s="1"/>
  <c r="Z16" i="10" s="1"/>
  <c r="AA16" i="10" s="1"/>
  <c r="AB16" i="10" s="1"/>
  <c r="AC16" i="10" s="1"/>
  <c r="AD16" i="10" s="1"/>
  <c r="AU13" i="10"/>
  <c r="AV13" i="10" s="1"/>
  <c r="AU12" i="10"/>
  <c r="AV12" i="10" s="1"/>
  <c r="G12" i="10"/>
  <c r="H12" i="10" s="1"/>
  <c r="I12" i="10" s="1"/>
  <c r="J12" i="10" s="1"/>
  <c r="K12" i="10" s="1"/>
  <c r="L12" i="10" s="1"/>
  <c r="M12" i="10" s="1"/>
  <c r="N12" i="10" s="1"/>
  <c r="O12" i="10" s="1"/>
  <c r="P12" i="10" s="1"/>
  <c r="Q12" i="10" s="1"/>
  <c r="R12" i="10" s="1"/>
  <c r="S12" i="10" s="1"/>
  <c r="T12" i="10" s="1"/>
  <c r="U12" i="10" s="1"/>
  <c r="V12" i="10" s="1"/>
  <c r="W12" i="10" s="1"/>
  <c r="X12" i="10" s="1"/>
  <c r="Y12" i="10" s="1"/>
  <c r="Z12" i="10" s="1"/>
  <c r="AA12" i="10" s="1"/>
  <c r="AB12" i="10" s="1"/>
  <c r="AC12" i="10" s="1"/>
  <c r="AD12" i="10" s="1"/>
  <c r="AE12" i="10" s="1"/>
  <c r="AF12" i="10" s="1"/>
  <c r="AG12" i="10" s="1"/>
  <c r="AH12" i="10" s="1"/>
  <c r="AI12" i="10" s="1"/>
  <c r="AJ12" i="10" s="1"/>
  <c r="AK12" i="10" s="1"/>
  <c r="AL12" i="10" s="1"/>
  <c r="AM12" i="10" s="1"/>
  <c r="AN12" i="10" s="1"/>
  <c r="AO12" i="10" s="1"/>
  <c r="AP12" i="10" s="1"/>
  <c r="AU11" i="10"/>
  <c r="AV11" i="10" s="1"/>
  <c r="G11" i="10"/>
  <c r="H11" i="10" s="1"/>
  <c r="I11" i="10" s="1"/>
  <c r="J11" i="10" s="1"/>
  <c r="K11" i="10" s="1"/>
  <c r="L11" i="10" s="1"/>
  <c r="M11" i="10" s="1"/>
  <c r="N11" i="10" s="1"/>
  <c r="O11" i="10" s="1"/>
  <c r="P11" i="10" s="1"/>
  <c r="Q11" i="10" s="1"/>
  <c r="R11" i="10" s="1"/>
  <c r="S11" i="10" s="1"/>
  <c r="T11" i="10" s="1"/>
  <c r="U11" i="10" s="1"/>
  <c r="V11" i="10" s="1"/>
  <c r="W11" i="10" s="1"/>
  <c r="X11" i="10" s="1"/>
  <c r="Y11" i="10" s="1"/>
  <c r="Z11" i="10" s="1"/>
  <c r="AA11" i="10" s="1"/>
  <c r="AB11" i="10" s="1"/>
  <c r="AC11" i="10" s="1"/>
  <c r="AD11" i="10" s="1"/>
  <c r="AE11" i="10" s="1"/>
  <c r="AF11" i="10" s="1"/>
  <c r="AG11" i="10" s="1"/>
  <c r="AH11" i="10" s="1"/>
  <c r="AI11" i="10" s="1"/>
  <c r="AJ11" i="10" s="1"/>
  <c r="AK11" i="10" s="1"/>
  <c r="AL11" i="10" s="1"/>
  <c r="AM11" i="10" s="1"/>
  <c r="AN11" i="10" s="1"/>
  <c r="AO11" i="10" s="1"/>
  <c r="AP11" i="10" s="1"/>
  <c r="AV10" i="10"/>
  <c r="AU10" i="10"/>
  <c r="AE10" i="10"/>
  <c r="AH10" i="10" s="1"/>
  <c r="AK10" i="10" s="1"/>
  <c r="AN10" i="10" s="1"/>
  <c r="AV43" i="9"/>
  <c r="G69" i="9" s="1"/>
  <c r="AU43" i="9"/>
  <c r="E69" i="9" s="1"/>
  <c r="AP43" i="9"/>
  <c r="D69" i="9" s="1"/>
  <c r="AO43" i="9"/>
  <c r="AN43" i="9"/>
  <c r="AM43" i="9"/>
  <c r="AL43" i="9"/>
  <c r="AK43" i="9"/>
  <c r="AJ43" i="9"/>
  <c r="AI43" i="9"/>
  <c r="AH43" i="9"/>
  <c r="AG43" i="9"/>
  <c r="AF43" i="9"/>
  <c r="AE43" i="9"/>
  <c r="AD43" i="9"/>
  <c r="C69" i="9" s="1"/>
  <c r="AC43" i="9"/>
  <c r="AB43" i="9"/>
  <c r="AA43" i="9"/>
  <c r="Z43" i="9"/>
  <c r="Y43" i="9"/>
  <c r="X43" i="9"/>
  <c r="W43" i="9"/>
  <c r="V43" i="9"/>
  <c r="U43" i="9"/>
  <c r="T43" i="9"/>
  <c r="S43" i="9"/>
  <c r="R43" i="9"/>
  <c r="B69" i="9" s="1"/>
  <c r="Q43" i="9"/>
  <c r="P43" i="9"/>
  <c r="O43" i="9"/>
  <c r="N43" i="9"/>
  <c r="M43" i="9"/>
  <c r="L43" i="9"/>
  <c r="K43" i="9"/>
  <c r="J43" i="9"/>
  <c r="I43" i="9"/>
  <c r="H43" i="9"/>
  <c r="G43" i="9"/>
  <c r="R42" i="9"/>
  <c r="Q42" i="9"/>
  <c r="P42" i="9"/>
  <c r="O42" i="9"/>
  <c r="N42" i="9"/>
  <c r="M42" i="9"/>
  <c r="L42" i="9"/>
  <c r="K42" i="9"/>
  <c r="J42" i="9"/>
  <c r="I42" i="9"/>
  <c r="H42" i="9"/>
  <c r="G42" i="9"/>
  <c r="D41" i="9"/>
  <c r="E41" i="9" s="1"/>
  <c r="AR41" i="9" s="1"/>
  <c r="AS41" i="9" s="1"/>
  <c r="D40" i="9"/>
  <c r="D39" i="9"/>
  <c r="D34" i="9"/>
  <c r="E34" i="9" s="1"/>
  <c r="AR34" i="9" s="1"/>
  <c r="AS34" i="9" s="1"/>
  <c r="D33" i="9"/>
  <c r="AV30" i="9"/>
  <c r="G67" i="9" s="1"/>
  <c r="AU30" i="9"/>
  <c r="E67" i="9" s="1"/>
  <c r="AP30" i="9"/>
  <c r="D67" i="9" s="1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C67" i="9" s="1"/>
  <c r="Q30" i="9"/>
  <c r="P30" i="9"/>
  <c r="O30" i="9"/>
  <c r="N30" i="9"/>
  <c r="M30" i="9"/>
  <c r="L30" i="9"/>
  <c r="K30" i="9"/>
  <c r="J30" i="9"/>
  <c r="I30" i="9"/>
  <c r="H30" i="9"/>
  <c r="G30" i="9"/>
  <c r="R29" i="9"/>
  <c r="Q29" i="9"/>
  <c r="P29" i="9"/>
  <c r="O29" i="9"/>
  <c r="N29" i="9"/>
  <c r="M29" i="9"/>
  <c r="L29" i="9"/>
  <c r="K29" i="9"/>
  <c r="J29" i="9"/>
  <c r="I29" i="9"/>
  <c r="H29" i="9"/>
  <c r="G29" i="9"/>
  <c r="D28" i="9"/>
  <c r="D26" i="9"/>
  <c r="D22" i="9"/>
  <c r="E22" i="9" s="1"/>
  <c r="AR22" i="9" s="1"/>
  <c r="AS22" i="9" s="1"/>
  <c r="D21" i="9"/>
  <c r="E21" i="9" s="1"/>
  <c r="AR21" i="9" s="1"/>
  <c r="AS21" i="9" s="1"/>
  <c r="D20" i="9"/>
  <c r="E20" i="9" s="1"/>
  <c r="AR20" i="9" s="1"/>
  <c r="AS20" i="9" s="1"/>
  <c r="D19" i="9"/>
  <c r="E19" i="9" s="1"/>
  <c r="R16" i="9"/>
  <c r="Q16" i="9"/>
  <c r="P16" i="9"/>
  <c r="O16" i="9"/>
  <c r="N16" i="9"/>
  <c r="M16" i="9"/>
  <c r="L16" i="9"/>
  <c r="K16" i="9"/>
  <c r="J16" i="9"/>
  <c r="I16" i="9"/>
  <c r="H16" i="9"/>
  <c r="G16" i="9"/>
  <c r="AV15" i="9"/>
  <c r="AU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R14" i="9"/>
  <c r="Q14" i="9"/>
  <c r="P14" i="9"/>
  <c r="O14" i="9"/>
  <c r="N14" i="9"/>
  <c r="M14" i="9"/>
  <c r="L14" i="9"/>
  <c r="K14" i="9"/>
  <c r="J14" i="9"/>
  <c r="I14" i="9"/>
  <c r="H14" i="9"/>
  <c r="G14" i="9"/>
  <c r="D13" i="9"/>
  <c r="D12" i="9"/>
  <c r="E12" i="9" s="1"/>
  <c r="AR12" i="9" s="1"/>
  <c r="AS12" i="9" s="1"/>
  <c r="D11" i="9"/>
  <c r="E11" i="9" s="1"/>
  <c r="D10" i="9"/>
  <c r="Z14" i="9" s="1"/>
  <c r="K25" i="8"/>
  <c r="L25" i="8" s="1"/>
  <c r="M25" i="8" s="1"/>
  <c r="N25" i="8" s="1"/>
  <c r="O25" i="8" s="1"/>
  <c r="P25" i="8" s="1"/>
  <c r="Q25" i="8" s="1"/>
  <c r="R25" i="8" s="1"/>
  <c r="S25" i="8" s="1"/>
  <c r="T25" i="8" s="1"/>
  <c r="U25" i="8" s="1"/>
  <c r="V25" i="8" s="1"/>
  <c r="C25" i="8"/>
  <c r="D25" i="8" s="1"/>
  <c r="K24" i="8"/>
  <c r="L24" i="8" s="1"/>
  <c r="M24" i="8" s="1"/>
  <c r="N24" i="8" s="1"/>
  <c r="O24" i="8" s="1"/>
  <c r="P24" i="8" s="1"/>
  <c r="Q24" i="8" s="1"/>
  <c r="R24" i="8" s="1"/>
  <c r="S24" i="8" s="1"/>
  <c r="T24" i="8" s="1"/>
  <c r="U24" i="8" s="1"/>
  <c r="V24" i="8" s="1"/>
  <c r="C24" i="8"/>
  <c r="D24" i="8" s="1"/>
  <c r="K23" i="8"/>
  <c r="C23" i="8"/>
  <c r="C14" i="8"/>
  <c r="C13" i="8"/>
  <c r="F51" i="7"/>
  <c r="E51" i="7"/>
  <c r="D51" i="7"/>
  <c r="C51" i="7"/>
  <c r="B51" i="7"/>
  <c r="F49" i="7"/>
  <c r="E49" i="7"/>
  <c r="F46" i="7"/>
  <c r="E46" i="7"/>
  <c r="D46" i="7"/>
  <c r="P29" i="7"/>
  <c r="O10" i="4" s="1"/>
  <c r="O29" i="7"/>
  <c r="N10" i="4" s="1"/>
  <c r="N29" i="7"/>
  <c r="M10" i="4" s="1"/>
  <c r="M29" i="7"/>
  <c r="L10" i="4" s="1"/>
  <c r="L29" i="7"/>
  <c r="K10" i="4" s="1"/>
  <c r="K29" i="7"/>
  <c r="J10" i="4" s="1"/>
  <c r="J29" i="7"/>
  <c r="I10" i="4" s="1"/>
  <c r="I29" i="7"/>
  <c r="H10" i="4" s="1"/>
  <c r="H29" i="7"/>
  <c r="G10" i="4" s="1"/>
  <c r="G29" i="7"/>
  <c r="F29" i="7"/>
  <c r="E29" i="7"/>
  <c r="K19" i="8" s="1"/>
  <c r="C29" i="7"/>
  <c r="C22" i="7"/>
  <c r="K13" i="7"/>
  <c r="I13" i="7"/>
  <c r="G13" i="7"/>
  <c r="F13" i="7"/>
  <c r="E13" i="7"/>
  <c r="C13" i="7"/>
  <c r="P12" i="7"/>
  <c r="O12" i="7"/>
  <c r="N12" i="7"/>
  <c r="M12" i="7"/>
  <c r="L12" i="7"/>
  <c r="K12" i="7"/>
  <c r="J12" i="7"/>
  <c r="I12" i="7"/>
  <c r="H12" i="7"/>
  <c r="G12" i="7"/>
  <c r="F12" i="7"/>
  <c r="E12" i="7"/>
  <c r="C12" i="7"/>
  <c r="AM9" i="7"/>
  <c r="AK9" i="7"/>
  <c r="AE9" i="7"/>
  <c r="AD9" i="7"/>
  <c r="AC9" i="7"/>
  <c r="W9" i="7"/>
  <c r="V9" i="7"/>
  <c r="U9" i="7"/>
  <c r="O9" i="7"/>
  <c r="Q34" i="9" s="1"/>
  <c r="N9" i="7"/>
  <c r="M9" i="7"/>
  <c r="K9" i="7"/>
  <c r="G9" i="7"/>
  <c r="F9" i="7"/>
  <c r="E9" i="7"/>
  <c r="AN9" i="7"/>
  <c r="AL9" i="7"/>
  <c r="AJ9" i="7"/>
  <c r="AH9" i="7"/>
  <c r="AG9" i="7"/>
  <c r="AF9" i="7"/>
  <c r="AB9" i="7"/>
  <c r="AA9" i="7"/>
  <c r="Z9" i="7"/>
  <c r="Y9" i="7"/>
  <c r="AA34" i="9" s="1"/>
  <c r="X9" i="7"/>
  <c r="Z34" i="9" s="1"/>
  <c r="R9" i="7"/>
  <c r="P9" i="7"/>
  <c r="O13" i="7"/>
  <c r="N13" i="7"/>
  <c r="M13" i="7"/>
  <c r="L13" i="7"/>
  <c r="H8" i="7"/>
  <c r="AP16" i="5"/>
  <c r="AP18" i="6" s="1"/>
  <c r="AO16" i="5"/>
  <c r="AO18" i="6" s="1"/>
  <c r="AM16" i="5"/>
  <c r="AM18" i="6" s="1"/>
  <c r="AL16" i="5"/>
  <c r="AL18" i="6" s="1"/>
  <c r="AK16" i="5"/>
  <c r="AK18" i="6" s="1"/>
  <c r="AJ16" i="5"/>
  <c r="AJ18" i="6" s="1"/>
  <c r="AI16" i="5"/>
  <c r="AI18" i="6" s="1"/>
  <c r="AH16" i="5"/>
  <c r="AH18" i="6" s="1"/>
  <c r="AG16" i="5"/>
  <c r="AG18" i="6" s="1"/>
  <c r="AF16" i="5"/>
  <c r="AF18" i="6" s="1"/>
  <c r="AE16" i="5"/>
  <c r="AE18" i="6" s="1"/>
  <c r="AD16" i="5"/>
  <c r="AD18" i="6" s="1"/>
  <c r="AC16" i="5"/>
  <c r="AB16" i="5"/>
  <c r="AB18" i="6" s="1"/>
  <c r="AA16" i="5"/>
  <c r="AA18" i="6" s="1"/>
  <c r="Z16" i="5"/>
  <c r="Z18" i="6" s="1"/>
  <c r="Y16" i="5"/>
  <c r="Y18" i="6" s="1"/>
  <c r="X16" i="5"/>
  <c r="X18" i="6" s="1"/>
  <c r="W16" i="5"/>
  <c r="W18" i="6" s="1"/>
  <c r="V16" i="5"/>
  <c r="V18" i="6" s="1"/>
  <c r="U16" i="5"/>
  <c r="T16" i="5"/>
  <c r="T18" i="6" s="1"/>
  <c r="S16" i="5"/>
  <c r="S18" i="6" s="1"/>
  <c r="R16" i="5"/>
  <c r="R18" i="6" s="1"/>
  <c r="Q16" i="5"/>
  <c r="Q18" i="6" s="1"/>
  <c r="P16" i="5"/>
  <c r="P18" i="6" s="1"/>
  <c r="O16" i="5"/>
  <c r="O18" i="6" s="1"/>
  <c r="N16" i="5"/>
  <c r="N18" i="6" s="1"/>
  <c r="M16" i="5"/>
  <c r="M18" i="6" s="1"/>
  <c r="L16" i="5"/>
  <c r="L18" i="6" s="1"/>
  <c r="K16" i="5"/>
  <c r="K18" i="6" s="1"/>
  <c r="J16" i="5"/>
  <c r="J18" i="6" s="1"/>
  <c r="I16" i="5"/>
  <c r="I18" i="6" s="1"/>
  <c r="H16" i="5"/>
  <c r="H18" i="6" s="1"/>
  <c r="G16" i="5"/>
  <c r="G18" i="6" s="1"/>
  <c r="F16" i="5"/>
  <c r="F18" i="6" s="1"/>
  <c r="E16" i="5"/>
  <c r="D16" i="5"/>
  <c r="D18" i="6" s="1"/>
  <c r="AN19" i="4"/>
  <c r="F10" i="4"/>
  <c r="E10" i="4"/>
  <c r="D10" i="4"/>
  <c r="F18" i="3"/>
  <c r="E18" i="3"/>
  <c r="F13" i="3"/>
  <c r="E13" i="3"/>
  <c r="D13" i="3"/>
  <c r="C13" i="3"/>
  <c r="B13" i="3"/>
  <c r="F16" i="2"/>
  <c r="E16" i="2"/>
  <c r="F14" i="1"/>
  <c r="E14" i="1"/>
  <c r="D14" i="1"/>
  <c r="C14" i="1"/>
  <c r="H9" i="7" l="1"/>
  <c r="B47" i="7"/>
  <c r="AA12" i="7"/>
  <c r="AB12" i="7"/>
  <c r="G14" i="7"/>
  <c r="Y13" i="7"/>
  <c r="AA13" i="7"/>
  <c r="R29" i="7"/>
  <c r="Q10" i="4" s="1"/>
  <c r="Y29" i="7"/>
  <c r="X10" i="4" s="1"/>
  <c r="Q29" i="7"/>
  <c r="E26" i="9"/>
  <c r="AB17" i="11"/>
  <c r="AC17" i="11"/>
  <c r="S17" i="11"/>
  <c r="T17" i="11"/>
  <c r="U17" i="11"/>
  <c r="V17" i="11"/>
  <c r="W17" i="11"/>
  <c r="X17" i="11"/>
  <c r="Y17" i="11"/>
  <c r="Z17" i="11"/>
  <c r="AA17" i="11"/>
  <c r="R17" i="11"/>
  <c r="X29" i="9"/>
  <c r="AB19" i="11"/>
  <c r="AC19" i="11"/>
  <c r="S19" i="11"/>
  <c r="T19" i="11"/>
  <c r="U19" i="11"/>
  <c r="V19" i="11"/>
  <c r="W19" i="11"/>
  <c r="X19" i="11"/>
  <c r="Y19" i="11"/>
  <c r="Z19" i="11"/>
  <c r="AA19" i="11"/>
  <c r="R19" i="11"/>
  <c r="AE16" i="10"/>
  <c r="AF16" i="10" s="1"/>
  <c r="AG16" i="10" s="1"/>
  <c r="AH16" i="10" s="1"/>
  <c r="AI16" i="10" s="1"/>
  <c r="AJ16" i="10" s="1"/>
  <c r="AK16" i="10" s="1"/>
  <c r="AL16" i="10" s="1"/>
  <c r="AM16" i="10" s="1"/>
  <c r="AN16" i="10" s="1"/>
  <c r="AO16" i="10" s="1"/>
  <c r="AP16" i="10" s="1"/>
  <c r="AS27" i="9"/>
  <c r="AR18" i="11" s="1"/>
  <c r="AQ18" i="11"/>
  <c r="K14" i="11"/>
  <c r="K22" i="11" s="1"/>
  <c r="AO14" i="11"/>
  <c r="AO22" i="11" s="1"/>
  <c r="AA14" i="11"/>
  <c r="AA22" i="11" s="1"/>
  <c r="L14" i="11"/>
  <c r="L22" i="11" s="1"/>
  <c r="G20" i="11"/>
  <c r="O20" i="11"/>
  <c r="Q14" i="11"/>
  <c r="Q22" i="11" s="1"/>
  <c r="AG14" i="11"/>
  <c r="AG22" i="11" s="1"/>
  <c r="N14" i="11"/>
  <c r="N22" i="11" s="1"/>
  <c r="V14" i="11"/>
  <c r="V22" i="11" s="1"/>
  <c r="AD14" i="11"/>
  <c r="AD22" i="11" s="1"/>
  <c r="AL14" i="11"/>
  <c r="AL22" i="11" s="1"/>
  <c r="M14" i="11"/>
  <c r="M22" i="11" s="1"/>
  <c r="G14" i="11"/>
  <c r="G22" i="11" s="1"/>
  <c r="O14" i="11"/>
  <c r="O22" i="11" s="1"/>
  <c r="W14" i="11"/>
  <c r="W22" i="11" s="1"/>
  <c r="AE14" i="11"/>
  <c r="AE22" i="11" s="1"/>
  <c r="AM14" i="11"/>
  <c r="AM22" i="11" s="1"/>
  <c r="U14" i="11"/>
  <c r="U22" i="11" s="1"/>
  <c r="L23" i="8"/>
  <c r="M23" i="8" s="1"/>
  <c r="N23" i="8" s="1"/>
  <c r="O23" i="8" s="1"/>
  <c r="P23" i="8" s="1"/>
  <c r="Q23" i="8" s="1"/>
  <c r="R23" i="8" s="1"/>
  <c r="S23" i="8" s="1"/>
  <c r="T23" i="8" s="1"/>
  <c r="U23" i="8" s="1"/>
  <c r="V23" i="8" s="1"/>
  <c r="D13" i="8"/>
  <c r="W24" i="8"/>
  <c r="X24" i="8" s="1"/>
  <c r="Y24" i="8" s="1"/>
  <c r="Z24" i="8" s="1"/>
  <c r="AA24" i="8" s="1"/>
  <c r="AB24" i="8" s="1"/>
  <c r="AC24" i="8" s="1"/>
  <c r="AD24" i="8" s="1"/>
  <c r="AE24" i="8" s="1"/>
  <c r="AF24" i="8" s="1"/>
  <c r="AG24" i="8" s="1"/>
  <c r="AH24" i="8" s="1"/>
  <c r="D14" i="8"/>
  <c r="K20" i="11"/>
  <c r="K24" i="11" s="1"/>
  <c r="I22" i="6" s="1"/>
  <c r="Y42" i="9"/>
  <c r="L20" i="11"/>
  <c r="L24" i="11" s="1"/>
  <c r="J22" i="6" s="1"/>
  <c r="M20" i="11"/>
  <c r="AR14" i="11"/>
  <c r="AR22" i="11" s="1"/>
  <c r="B58" i="9"/>
  <c r="Y29" i="9"/>
  <c r="F24" i="11"/>
  <c r="N20" i="11"/>
  <c r="J20" i="11"/>
  <c r="AB42" i="9"/>
  <c r="AC42" i="9"/>
  <c r="X14" i="9"/>
  <c r="H20" i="11"/>
  <c r="P20" i="11"/>
  <c r="X16" i="9"/>
  <c r="Y16" i="9"/>
  <c r="Q20" i="11"/>
  <c r="V13" i="7"/>
  <c r="K14" i="7"/>
  <c r="J8" i="4" s="1"/>
  <c r="W13" i="7"/>
  <c r="T12" i="7"/>
  <c r="Z13" i="7"/>
  <c r="S13" i="7"/>
  <c r="E14" i="7"/>
  <c r="D8" i="4" s="1"/>
  <c r="T13" i="7"/>
  <c r="F14" i="7"/>
  <c r="E8" i="4" s="1"/>
  <c r="U13" i="7"/>
  <c r="I14" i="7"/>
  <c r="H8" i="4" s="1"/>
  <c r="F22" i="7"/>
  <c r="C10" i="1"/>
  <c r="AV24" i="9"/>
  <c r="AA33" i="9"/>
  <c r="AA36" i="9" s="1"/>
  <c r="Z33" i="9"/>
  <c r="Z36" i="9" s="1"/>
  <c r="O14" i="7"/>
  <c r="N8" i="4" s="1"/>
  <c r="J13" i="7"/>
  <c r="J14" i="7" s="1"/>
  <c r="I8" i="4" s="1"/>
  <c r="S12" i="7"/>
  <c r="F8" i="4"/>
  <c r="T14" i="7"/>
  <c r="S8" i="4" s="1"/>
  <c r="V12" i="7"/>
  <c r="D12" i="7"/>
  <c r="AP12" i="7" s="1"/>
  <c r="U18" i="6"/>
  <c r="C18" i="3" s="1"/>
  <c r="C16" i="2"/>
  <c r="E18" i="6"/>
  <c r="B18" i="3" s="1"/>
  <c r="B16" i="2"/>
  <c r="D16" i="2"/>
  <c r="AC18" i="6"/>
  <c r="D18" i="3" s="1"/>
  <c r="W34" i="9"/>
  <c r="W33" i="9"/>
  <c r="D47" i="7"/>
  <c r="B61" i="9"/>
  <c r="AR19" i="9"/>
  <c r="AL33" i="9"/>
  <c r="AL34" i="9"/>
  <c r="T9" i="7"/>
  <c r="AM34" i="9"/>
  <c r="AM33" i="9"/>
  <c r="AD33" i="9"/>
  <c r="AD34" i="9"/>
  <c r="X33" i="9"/>
  <c r="X34" i="9"/>
  <c r="M34" i="9"/>
  <c r="D22" i="7"/>
  <c r="L9" i="7"/>
  <c r="AB13" i="7"/>
  <c r="AB14" i="7" s="1"/>
  <c r="E24" i="8"/>
  <c r="AI24" i="8"/>
  <c r="AJ24" i="8" s="1"/>
  <c r="AK24" i="8" s="1"/>
  <c r="AL24" i="8" s="1"/>
  <c r="AM24" i="8" s="1"/>
  <c r="AN24" i="8" s="1"/>
  <c r="AO24" i="8" s="1"/>
  <c r="AP24" i="8" s="1"/>
  <c r="AQ24" i="8" s="1"/>
  <c r="AR24" i="8" s="1"/>
  <c r="AS24" i="8" s="1"/>
  <c r="AT24" i="8" s="1"/>
  <c r="E25" i="8"/>
  <c r="AI25" i="8"/>
  <c r="AJ25" i="8" s="1"/>
  <c r="AK25" i="8" s="1"/>
  <c r="AL25" i="8" s="1"/>
  <c r="AM25" i="8" s="1"/>
  <c r="AN25" i="8" s="1"/>
  <c r="AO25" i="8" s="1"/>
  <c r="AP25" i="8" s="1"/>
  <c r="AQ25" i="8" s="1"/>
  <c r="AR25" i="8" s="1"/>
  <c r="AS25" i="8" s="1"/>
  <c r="AT25" i="8" s="1"/>
  <c r="E65" i="9"/>
  <c r="AF16" i="9"/>
  <c r="H33" i="9"/>
  <c r="H34" i="9"/>
  <c r="P10" i="4"/>
  <c r="G65" i="9"/>
  <c r="AC33" i="9"/>
  <c r="AC34" i="9"/>
  <c r="G34" i="9"/>
  <c r="G33" i="9"/>
  <c r="S9" i="7"/>
  <c r="AI9" i="7"/>
  <c r="N14" i="7"/>
  <c r="B42" i="7"/>
  <c r="AP16" i="9"/>
  <c r="AH16" i="9"/>
  <c r="AI16" i="9"/>
  <c r="AN16" i="9"/>
  <c r="AM16" i="9"/>
  <c r="AL16" i="9"/>
  <c r="AR11" i="9"/>
  <c r="AO16" i="9"/>
  <c r="AE16" i="9"/>
  <c r="AK16" i="9"/>
  <c r="AJ16" i="9"/>
  <c r="AG16" i="9"/>
  <c r="W23" i="8"/>
  <c r="X23" i="8" s="1"/>
  <c r="Y23" i="8" s="1"/>
  <c r="Z23" i="8" s="1"/>
  <c r="AA23" i="8" s="1"/>
  <c r="AB23" i="8" s="1"/>
  <c r="AC23" i="8" s="1"/>
  <c r="AD23" i="8" s="1"/>
  <c r="AE23" i="8" s="1"/>
  <c r="AF23" i="8" s="1"/>
  <c r="AG23" i="8" s="1"/>
  <c r="AH23" i="8" s="1"/>
  <c r="D23" i="8"/>
  <c r="S14" i="9"/>
  <c r="AF33" i="9"/>
  <c r="AF34" i="9"/>
  <c r="AG12" i="7"/>
  <c r="AN12" i="7"/>
  <c r="AM12" i="7"/>
  <c r="AE12" i="7"/>
  <c r="AH12" i="7"/>
  <c r="AJ12" i="7"/>
  <c r="AI12" i="7"/>
  <c r="L14" i="7"/>
  <c r="AA14" i="7"/>
  <c r="D13" i="7"/>
  <c r="AP13" i="7" s="1"/>
  <c r="AQ13" i="7" s="1"/>
  <c r="Q13" i="7"/>
  <c r="W29" i="7"/>
  <c r="V10" i="4" s="1"/>
  <c r="V29" i="7"/>
  <c r="U10" i="4" s="1"/>
  <c r="U29" i="7"/>
  <c r="T10" i="4" s="1"/>
  <c r="X29" i="7"/>
  <c r="W10" i="4" s="1"/>
  <c r="AB29" i="7"/>
  <c r="AA10" i="4" s="1"/>
  <c r="AA29" i="7"/>
  <c r="Z10" i="4" s="1"/>
  <c r="Z29" i="7"/>
  <c r="Y10" i="4" s="1"/>
  <c r="S29" i="7"/>
  <c r="R10" i="4" s="1"/>
  <c r="E13" i="9"/>
  <c r="AR13" i="9" s="1"/>
  <c r="AS13" i="9" s="1"/>
  <c r="M14" i="7"/>
  <c r="D29" i="7"/>
  <c r="T29" i="7"/>
  <c r="S10" i="4" s="1"/>
  <c r="Z16" i="9"/>
  <c r="AA16" i="9"/>
  <c r="S16" i="9"/>
  <c r="AD16" i="9"/>
  <c r="T16" i="9"/>
  <c r="AC16" i="9"/>
  <c r="AB16" i="9"/>
  <c r="U16" i="9"/>
  <c r="V16" i="9"/>
  <c r="AA14" i="9"/>
  <c r="Y14" i="9"/>
  <c r="W16" i="9"/>
  <c r="C65" i="9"/>
  <c r="J34" i="9"/>
  <c r="J33" i="9"/>
  <c r="R34" i="9"/>
  <c r="AH34" i="9"/>
  <c r="AH33" i="9"/>
  <c r="AP34" i="9"/>
  <c r="AP33" i="9"/>
  <c r="O34" i="9"/>
  <c r="O33" i="9"/>
  <c r="AN33" i="9"/>
  <c r="AN34" i="9"/>
  <c r="R13" i="7"/>
  <c r="AD14" i="9"/>
  <c r="V14" i="9"/>
  <c r="AC14" i="9"/>
  <c r="U14" i="9"/>
  <c r="AB14" i="9"/>
  <c r="T14" i="9"/>
  <c r="E10" i="9"/>
  <c r="W14" i="9"/>
  <c r="K34" i="9"/>
  <c r="K33" i="9"/>
  <c r="Q9" i="7"/>
  <c r="C47" i="7"/>
  <c r="AI34" i="9"/>
  <c r="E47" i="7"/>
  <c r="AS9" i="7"/>
  <c r="E48" i="7" s="1"/>
  <c r="P34" i="9"/>
  <c r="P33" i="9"/>
  <c r="E22" i="7"/>
  <c r="AR26" i="9"/>
  <c r="AQ17" i="11" s="1"/>
  <c r="L34" i="9"/>
  <c r="T34" i="9"/>
  <c r="AB34" i="9"/>
  <c r="AB33" i="9"/>
  <c r="AJ34" i="9"/>
  <c r="F47" i="7"/>
  <c r="AT9" i="7"/>
  <c r="F48" i="7" s="1"/>
  <c r="AE33" i="9"/>
  <c r="AE34" i="9"/>
  <c r="Y12" i="7"/>
  <c r="Q12" i="7"/>
  <c r="X12" i="7"/>
  <c r="W12" i="7"/>
  <c r="Z12" i="7"/>
  <c r="R12" i="7"/>
  <c r="U12" i="7"/>
  <c r="H13" i="7"/>
  <c r="H14" i="7" s="1"/>
  <c r="P13" i="7"/>
  <c r="P14" i="7" s="1"/>
  <c r="X13" i="7"/>
  <c r="B54" i="9"/>
  <c r="B65" i="9"/>
  <c r="D65" i="9"/>
  <c r="AB29" i="9"/>
  <c r="T29" i="9"/>
  <c r="AA29" i="9"/>
  <c r="S29" i="9"/>
  <c r="Z29" i="9"/>
  <c r="W29" i="9"/>
  <c r="AD29" i="9"/>
  <c r="V29" i="9"/>
  <c r="AC29" i="9"/>
  <c r="U29" i="9"/>
  <c r="I33" i="9"/>
  <c r="I34" i="9"/>
  <c r="Y33" i="9"/>
  <c r="Y34" i="9"/>
  <c r="AG33" i="9"/>
  <c r="AG34" i="9"/>
  <c r="AO33" i="9"/>
  <c r="AO34" i="9"/>
  <c r="B56" i="9"/>
  <c r="W25" i="8"/>
  <c r="X25" i="8" s="1"/>
  <c r="Y25" i="8" s="1"/>
  <c r="Z25" i="8" s="1"/>
  <c r="AA25" i="8" s="1"/>
  <c r="AB25" i="8" s="1"/>
  <c r="AC25" i="8" s="1"/>
  <c r="AD25" i="8" s="1"/>
  <c r="AE25" i="8" s="1"/>
  <c r="AF25" i="8" s="1"/>
  <c r="AG25" i="8" s="1"/>
  <c r="AH25" i="8" s="1"/>
  <c r="E33" i="9"/>
  <c r="AD42" i="9"/>
  <c r="V42" i="9"/>
  <c r="E40" i="9"/>
  <c r="AR40" i="9" s="1"/>
  <c r="AS40" i="9" s="1"/>
  <c r="U42" i="9"/>
  <c r="W42" i="9"/>
  <c r="E28" i="9"/>
  <c r="X42" i="9"/>
  <c r="Z42" i="9"/>
  <c r="S42" i="9"/>
  <c r="AA42" i="9"/>
  <c r="B67" i="9"/>
  <c r="M24" i="11"/>
  <c r="K22" i="6" s="1"/>
  <c r="E39" i="9"/>
  <c r="T42" i="9"/>
  <c r="H14" i="11"/>
  <c r="H22" i="11" s="1"/>
  <c r="H24" i="11" s="1"/>
  <c r="F22" i="6" s="1"/>
  <c r="P14" i="11"/>
  <c r="P22" i="11" s="1"/>
  <c r="X14" i="11"/>
  <c r="X22" i="11" s="1"/>
  <c r="AF14" i="11"/>
  <c r="AF22" i="11" s="1"/>
  <c r="AN14" i="11"/>
  <c r="AN22" i="11" s="1"/>
  <c r="J14" i="11"/>
  <c r="J22" i="11" s="1"/>
  <c r="R14" i="11"/>
  <c r="R22" i="11" s="1"/>
  <c r="Z14" i="11"/>
  <c r="Z22" i="11" s="1"/>
  <c r="AH14" i="11"/>
  <c r="AH22" i="11" s="1"/>
  <c r="S14" i="11"/>
  <c r="S22" i="11" s="1"/>
  <c r="AI14" i="11"/>
  <c r="AI22" i="11" s="1"/>
  <c r="I20" i="11"/>
  <c r="I24" i="11" s="1"/>
  <c r="G22" i="6" s="1"/>
  <c r="AI29" i="9" l="1"/>
  <c r="AE19" i="11"/>
  <c r="AF19" i="11"/>
  <c r="AG19" i="11"/>
  <c r="AH19" i="11"/>
  <c r="AI19" i="11"/>
  <c r="AJ19" i="11"/>
  <c r="AK19" i="11"/>
  <c r="AL19" i="11"/>
  <c r="AM19" i="11"/>
  <c r="AN19" i="11"/>
  <c r="AO19" i="11"/>
  <c r="AD19" i="11"/>
  <c r="AE29" i="9"/>
  <c r="U14" i="7"/>
  <c r="W14" i="7"/>
  <c r="Y14" i="7"/>
  <c r="E32" i="7"/>
  <c r="K32" i="8" s="1"/>
  <c r="K18" i="8"/>
  <c r="K17" i="8"/>
  <c r="R33" i="9"/>
  <c r="C48" i="7"/>
  <c r="AI33" i="9"/>
  <c r="D48" i="7"/>
  <c r="L33" i="9"/>
  <c r="B48" i="7"/>
  <c r="V14" i="7"/>
  <c r="E9" i="4"/>
  <c r="L19" i="8"/>
  <c r="L18" i="8"/>
  <c r="L17" i="8"/>
  <c r="AE17" i="11"/>
  <c r="AF17" i="11"/>
  <c r="AG17" i="11"/>
  <c r="AH17" i="11"/>
  <c r="AI17" i="11"/>
  <c r="AJ17" i="11"/>
  <c r="AK17" i="11"/>
  <c r="AL17" i="11"/>
  <c r="AM17" i="11"/>
  <c r="AN17" i="11"/>
  <c r="AO17" i="11"/>
  <c r="AD17" i="11"/>
  <c r="G24" i="11"/>
  <c r="E22" i="6" s="1"/>
  <c r="O24" i="11"/>
  <c r="M22" i="6" s="1"/>
  <c r="N24" i="11"/>
  <c r="L22" i="6" s="1"/>
  <c r="U20" i="11"/>
  <c r="U24" i="11" s="1"/>
  <c r="S22" i="6" s="1"/>
  <c r="Q24" i="11"/>
  <c r="O22" i="6" s="1"/>
  <c r="J24" i="11"/>
  <c r="H22" i="6" s="1"/>
  <c r="E13" i="8"/>
  <c r="E14" i="8"/>
  <c r="T20" i="11"/>
  <c r="T24" i="11" s="1"/>
  <c r="R22" i="6" s="1"/>
  <c r="P24" i="11"/>
  <c r="N22" i="6" s="1"/>
  <c r="E12" i="4"/>
  <c r="E16" i="4" s="1"/>
  <c r="Z20" i="11"/>
  <c r="Z24" i="11" s="1"/>
  <c r="X22" i="6" s="1"/>
  <c r="F27" i="11"/>
  <c r="D22" i="6"/>
  <c r="Y20" i="11"/>
  <c r="Y24" i="11" s="1"/>
  <c r="W22" i="6" s="1"/>
  <c r="R20" i="11"/>
  <c r="R24" i="11" s="1"/>
  <c r="P22" i="6" s="1"/>
  <c r="AJ33" i="9"/>
  <c r="AJ35" i="9" s="1"/>
  <c r="AJ48" i="9" s="1"/>
  <c r="AE13" i="7"/>
  <c r="AK13" i="7"/>
  <c r="F32" i="7"/>
  <c r="H17" i="10" s="1"/>
  <c r="AC13" i="7"/>
  <c r="AS13" i="7"/>
  <c r="AL13" i="7"/>
  <c r="AI13" i="7"/>
  <c r="AI14" i="7" s="1"/>
  <c r="AH8" i="4" s="1"/>
  <c r="S14" i="7"/>
  <c r="R8" i="4" s="1"/>
  <c r="AD13" i="7"/>
  <c r="AN13" i="7"/>
  <c r="AF13" i="7"/>
  <c r="Z14" i="7"/>
  <c r="Y8" i="4" s="1"/>
  <c r="AK12" i="7"/>
  <c r="AM13" i="7"/>
  <c r="AD35" i="9"/>
  <c r="AD48" i="9" s="1"/>
  <c r="AM36" i="9"/>
  <c r="AU24" i="9"/>
  <c r="E66" i="9" s="1"/>
  <c r="G22" i="7"/>
  <c r="R14" i="7"/>
  <c r="AE14" i="7"/>
  <c r="X35" i="9"/>
  <c r="X48" i="9" s="1"/>
  <c r="AA35" i="9"/>
  <c r="AA48" i="9" s="1"/>
  <c r="Y35" i="9"/>
  <c r="Y48" i="9" s="1"/>
  <c r="AJ36" i="9"/>
  <c r="AB36" i="9"/>
  <c r="AC36" i="9"/>
  <c r="AI36" i="9"/>
  <c r="AB35" i="9"/>
  <c r="AB48" i="9" s="1"/>
  <c r="Z35" i="9"/>
  <c r="Z48" i="9" s="1"/>
  <c r="AP36" i="9"/>
  <c r="D68" i="9" s="1"/>
  <c r="AL36" i="9"/>
  <c r="AH36" i="9"/>
  <c r="AC35" i="9"/>
  <c r="AC48" i="9" s="1"/>
  <c r="X14" i="7"/>
  <c r="W8" i="4" s="1"/>
  <c r="W35" i="9"/>
  <c r="W48" i="9" s="1"/>
  <c r="Q14" i="7"/>
  <c r="AD12" i="7"/>
  <c r="AL12" i="7"/>
  <c r="AC12" i="7"/>
  <c r="AF12" i="7"/>
  <c r="D61" i="9"/>
  <c r="H36" i="9"/>
  <c r="H35" i="9"/>
  <c r="AV25" i="8"/>
  <c r="F25" i="8"/>
  <c r="AW25" i="8" s="1"/>
  <c r="AS19" i="9"/>
  <c r="V33" i="9"/>
  <c r="V34" i="9"/>
  <c r="AI35" i="9"/>
  <c r="AI48" i="9" s="1"/>
  <c r="AP35" i="9"/>
  <c r="AP48" i="9" s="1"/>
  <c r="AH35" i="9"/>
  <c r="AH48" i="9" s="1"/>
  <c r="AL35" i="9"/>
  <c r="AL48" i="9" s="1"/>
  <c r="AE35" i="9"/>
  <c r="AE48" i="9" s="1"/>
  <c r="AO35" i="9"/>
  <c r="AO48" i="9" s="1"/>
  <c r="AR33" i="9"/>
  <c r="AN35" i="9"/>
  <c r="AN48" i="9" s="1"/>
  <c r="AM35" i="9"/>
  <c r="AM48" i="9" s="1"/>
  <c r="AG35" i="9"/>
  <c r="AG48" i="9" s="1"/>
  <c r="AF35" i="9"/>
  <c r="AF48" i="9" s="1"/>
  <c r="Q8" i="4"/>
  <c r="C61" i="9"/>
  <c r="G36" i="9"/>
  <c r="G35" i="9"/>
  <c r="AJ42" i="9"/>
  <c r="AI42" i="9"/>
  <c r="AP42" i="9"/>
  <c r="AH42" i="9"/>
  <c r="AL42" i="9"/>
  <c r="AN42" i="9"/>
  <c r="AM42" i="9"/>
  <c r="AK42" i="9"/>
  <c r="AG42" i="9"/>
  <c r="AF42" i="9"/>
  <c r="AR39" i="9"/>
  <c r="AE42" i="9"/>
  <c r="AO42" i="9"/>
  <c r="AG36" i="9"/>
  <c r="AF29" i="9"/>
  <c r="AM29" i="9"/>
  <c r="AN36" i="9"/>
  <c r="L8" i="4"/>
  <c r="AI23" i="8"/>
  <c r="AJ23" i="8" s="1"/>
  <c r="AK23" i="8" s="1"/>
  <c r="AL23" i="8" s="1"/>
  <c r="AM23" i="8" s="1"/>
  <c r="AN23" i="8" s="1"/>
  <c r="AO23" i="8" s="1"/>
  <c r="AP23" i="8" s="1"/>
  <c r="AQ23" i="8" s="1"/>
  <c r="AR23" i="8" s="1"/>
  <c r="AS23" i="8" s="1"/>
  <c r="AT23" i="8" s="1"/>
  <c r="E23" i="8"/>
  <c r="V8" i="4"/>
  <c r="P36" i="9"/>
  <c r="P35" i="9"/>
  <c r="K35" i="9"/>
  <c r="K36" i="9"/>
  <c r="AH29" i="9"/>
  <c r="O35" i="9"/>
  <c r="O36" i="9"/>
  <c r="J35" i="9"/>
  <c r="J36" i="9"/>
  <c r="H9" i="12"/>
  <c r="H12" i="12" s="1"/>
  <c r="G18" i="10"/>
  <c r="G22" i="10"/>
  <c r="G9" i="10"/>
  <c r="G20" i="10"/>
  <c r="G17" i="10"/>
  <c r="Y36" i="9"/>
  <c r="S20" i="11"/>
  <c r="S24" i="11" s="1"/>
  <c r="Q22" i="6" s="1"/>
  <c r="AA20" i="11"/>
  <c r="AA24" i="11" s="1"/>
  <c r="Y22" i="6" s="1"/>
  <c r="AC20" i="11"/>
  <c r="AC24" i="11" s="1"/>
  <c r="AA22" i="6" s="1"/>
  <c r="AF36" i="9"/>
  <c r="U8" i="4"/>
  <c r="AU16" i="9"/>
  <c r="AS11" i="9"/>
  <c r="AV16" i="9" s="1"/>
  <c r="F24" i="8"/>
  <c r="AW24" i="8" s="1"/>
  <c r="AV24" i="8"/>
  <c r="X36" i="9"/>
  <c r="AA8" i="4"/>
  <c r="AM20" i="11"/>
  <c r="AM24" i="11" s="1"/>
  <c r="AK22" i="6" s="1"/>
  <c r="AE20" i="11"/>
  <c r="AE24" i="11" s="1"/>
  <c r="AC22" i="6" s="1"/>
  <c r="AD20" i="11"/>
  <c r="AD24" i="11" s="1"/>
  <c r="AB22" i="6" s="1"/>
  <c r="AJ20" i="11"/>
  <c r="AJ24" i="11" s="1"/>
  <c r="AH22" i="6" s="1"/>
  <c r="AO20" i="11"/>
  <c r="AG20" i="11"/>
  <c r="AG24" i="11" s="1"/>
  <c r="AE22" i="6" s="1"/>
  <c r="AN20" i="11"/>
  <c r="AN24" i="11" s="1"/>
  <c r="AL22" i="6" s="1"/>
  <c r="AI20" i="11"/>
  <c r="AI24" i="11" s="1"/>
  <c r="AG22" i="6" s="1"/>
  <c r="AH20" i="11"/>
  <c r="AH24" i="11" s="1"/>
  <c r="AF22" i="6" s="1"/>
  <c r="AF20" i="11"/>
  <c r="AF24" i="11" s="1"/>
  <c r="AD22" i="6" s="1"/>
  <c r="AR28" i="9"/>
  <c r="AQ19" i="11" s="1"/>
  <c r="AG29" i="9"/>
  <c r="S34" i="9"/>
  <c r="S33" i="9"/>
  <c r="Q33" i="9"/>
  <c r="AK20" i="11"/>
  <c r="AK24" i="11" s="1"/>
  <c r="AI22" i="6" s="1"/>
  <c r="AU29" i="9"/>
  <c r="E56" i="9" s="1"/>
  <c r="AS26" i="9"/>
  <c r="AR17" i="11" s="1"/>
  <c r="AN29" i="9"/>
  <c r="AP22" i="7"/>
  <c r="C42" i="7"/>
  <c r="I36" i="9"/>
  <c r="I35" i="9"/>
  <c r="AL20" i="11"/>
  <c r="AL24" i="11" s="1"/>
  <c r="AJ22" i="6" s="1"/>
  <c r="AH13" i="7"/>
  <c r="AH14" i="7" s="1"/>
  <c r="AG13" i="7"/>
  <c r="AG14" i="7" s="1"/>
  <c r="H9" i="10"/>
  <c r="I9" i="12"/>
  <c r="I12" i="12" s="1"/>
  <c r="L32" i="8"/>
  <c r="G8" i="4"/>
  <c r="AV34" i="9"/>
  <c r="N33" i="9"/>
  <c r="N34" i="9"/>
  <c r="W20" i="11"/>
  <c r="W24" i="11" s="1"/>
  <c r="U22" i="6" s="1"/>
  <c r="AU34" i="9"/>
  <c r="AD8" i="4"/>
  <c r="M8" i="4"/>
  <c r="V20" i="11"/>
  <c r="V24" i="11" s="1"/>
  <c r="T22" i="6" s="1"/>
  <c r="AP29" i="9"/>
  <c r="AL14" i="9"/>
  <c r="AM14" i="9"/>
  <c r="AK14" i="9"/>
  <c r="AR10" i="9"/>
  <c r="AJ14" i="9"/>
  <c r="AN14" i="9"/>
  <c r="AE14" i="9"/>
  <c r="AH14" i="9"/>
  <c r="AG14" i="9"/>
  <c r="AF14" i="9"/>
  <c r="AO14" i="9"/>
  <c r="AI14" i="9"/>
  <c r="AP14" i="9"/>
  <c r="AM14" i="7"/>
  <c r="C58" i="9"/>
  <c r="C56" i="9"/>
  <c r="AB20" i="11"/>
  <c r="AB24" i="11" s="1"/>
  <c r="Z22" i="6" s="1"/>
  <c r="T33" i="9"/>
  <c r="AK29" i="9"/>
  <c r="AM29" i="7"/>
  <c r="AL10" i="4" s="1"/>
  <c r="AE29" i="7"/>
  <c r="AD10" i="4" s="1"/>
  <c r="AL29" i="7"/>
  <c r="AK10" i="4" s="1"/>
  <c r="AD29" i="7"/>
  <c r="AC10" i="4" s="1"/>
  <c r="AK29" i="7"/>
  <c r="AJ10" i="4" s="1"/>
  <c r="AC29" i="7"/>
  <c r="AN29" i="7"/>
  <c r="AM10" i="4" s="1"/>
  <c r="AF29" i="7"/>
  <c r="AE10" i="4" s="1"/>
  <c r="AP29" i="7"/>
  <c r="AI29" i="7"/>
  <c r="AH10" i="4" s="1"/>
  <c r="AH29" i="7"/>
  <c r="AG10" i="4" s="1"/>
  <c r="AG29" i="7"/>
  <c r="AF10" i="4" s="1"/>
  <c r="AJ29" i="7"/>
  <c r="AI10" i="4" s="1"/>
  <c r="Z8" i="4"/>
  <c r="AK33" i="9"/>
  <c r="AK34" i="9"/>
  <c r="G66" i="9"/>
  <c r="AW7" i="8"/>
  <c r="B40" i="7"/>
  <c r="M33" i="9"/>
  <c r="AJ13" i="7"/>
  <c r="AJ14" i="7" s="1"/>
  <c r="AD36" i="9"/>
  <c r="L35" i="9"/>
  <c r="L36" i="9"/>
  <c r="R35" i="9"/>
  <c r="R36" i="9"/>
  <c r="AQ12" i="7"/>
  <c r="AT12" i="7" s="1"/>
  <c r="AS12" i="7"/>
  <c r="X8" i="4"/>
  <c r="AJ29" i="9"/>
  <c r="AO36" i="9"/>
  <c r="X20" i="11"/>
  <c r="X24" i="11" s="1"/>
  <c r="V22" i="6" s="1"/>
  <c r="O8" i="4"/>
  <c r="T8" i="4"/>
  <c r="AE36" i="9"/>
  <c r="D9" i="4"/>
  <c r="AL29" i="9"/>
  <c r="AO29" i="9"/>
  <c r="K8" i="4"/>
  <c r="AN14" i="7"/>
  <c r="C54" i="9"/>
  <c r="U33" i="9"/>
  <c r="U34" i="9"/>
  <c r="D10" i="1"/>
  <c r="W36" i="9"/>
  <c r="AO24" i="11" l="1"/>
  <c r="AM22" i="6" s="1"/>
  <c r="AF14" i="7"/>
  <c r="AL14" i="7"/>
  <c r="AD14" i="7"/>
  <c r="AC8" i="4" s="1"/>
  <c r="F9" i="4"/>
  <c r="F12" i="4" s="1"/>
  <c r="F16" i="4" s="1"/>
  <c r="M19" i="8"/>
  <c r="M18" i="8"/>
  <c r="M17" i="8"/>
  <c r="AK14" i="7"/>
  <c r="AJ8" i="4" s="1"/>
  <c r="B22" i="3"/>
  <c r="F13" i="8"/>
  <c r="F14" i="8"/>
  <c r="AF24" i="9"/>
  <c r="AJ7" i="8" s="1"/>
  <c r="AE23" i="9"/>
  <c r="AI8" i="8" s="1"/>
  <c r="AF23" i="9"/>
  <c r="AJ8" i="8" s="1"/>
  <c r="AC19" i="4" s="1"/>
  <c r="AE24" i="9"/>
  <c r="AI7" i="8" s="1"/>
  <c r="T24" i="9"/>
  <c r="X7" i="8" s="1"/>
  <c r="S24" i="9"/>
  <c r="W7" i="8" s="1"/>
  <c r="AV7" i="8"/>
  <c r="D56" i="9"/>
  <c r="C22" i="3"/>
  <c r="S23" i="9"/>
  <c r="W8" i="8" s="1"/>
  <c r="P19" i="4" s="1"/>
  <c r="G27" i="11"/>
  <c r="F29" i="11"/>
  <c r="T23" i="9"/>
  <c r="X8" i="8" s="1"/>
  <c r="Q19" i="4" s="1"/>
  <c r="H23" i="9"/>
  <c r="L8" i="8" s="1"/>
  <c r="E19" i="4" s="1"/>
  <c r="H24" i="9"/>
  <c r="L7" i="8" s="1"/>
  <c r="G24" i="9"/>
  <c r="G51" i="9" s="1"/>
  <c r="K9" i="8" s="1"/>
  <c r="H18" i="10"/>
  <c r="H20" i="10"/>
  <c r="H22" i="10"/>
  <c r="AG24" i="9"/>
  <c r="AG51" i="9" s="1"/>
  <c r="AK9" i="8" s="1"/>
  <c r="AC14" i="7"/>
  <c r="AB8" i="4" s="1"/>
  <c r="AG23" i="9"/>
  <c r="AK8" i="8" s="1"/>
  <c r="AD19" i="4" s="1"/>
  <c r="G32" i="7"/>
  <c r="I20" i="10" s="1"/>
  <c r="H22" i="7"/>
  <c r="P8" i="4"/>
  <c r="D8" i="1" s="1"/>
  <c r="C40" i="7"/>
  <c r="AE47" i="9"/>
  <c r="AK35" i="9"/>
  <c r="AK48" i="9" s="1"/>
  <c r="AU36" i="9"/>
  <c r="AU51" i="9" s="1"/>
  <c r="AV9" i="8" s="1"/>
  <c r="AV14" i="8" s="1"/>
  <c r="AK8" i="4"/>
  <c r="AI8" i="4"/>
  <c r="AG8" i="4"/>
  <c r="G61" i="9"/>
  <c r="U36" i="9"/>
  <c r="U35" i="9"/>
  <c r="I48" i="9"/>
  <c r="AK36" i="9"/>
  <c r="D12" i="4"/>
  <c r="D16" i="4" s="1"/>
  <c r="B68" i="9"/>
  <c r="AE8" i="4"/>
  <c r="AL8" i="4"/>
  <c r="C8" i="1"/>
  <c r="E38" i="4"/>
  <c r="D38" i="4"/>
  <c r="O48" i="9"/>
  <c r="G48" i="9"/>
  <c r="G28" i="10" s="1"/>
  <c r="V36" i="9"/>
  <c r="V35" i="9"/>
  <c r="AH24" i="9"/>
  <c r="AH23" i="9"/>
  <c r="AL8" i="8" s="1"/>
  <c r="E61" i="9"/>
  <c r="D58" i="9"/>
  <c r="U24" i="9"/>
  <c r="U23" i="9"/>
  <c r="Y8" i="8" s="1"/>
  <c r="C68" i="9"/>
  <c r="AS14" i="7"/>
  <c r="AQ20" i="11"/>
  <c r="AQ24" i="11" s="1"/>
  <c r="AS28" i="9"/>
  <c r="AR19" i="11" s="1"/>
  <c r="K48" i="9"/>
  <c r="I24" i="9"/>
  <c r="I47" i="9" s="1"/>
  <c r="M8" i="8"/>
  <c r="Q36" i="9"/>
  <c r="Q35" i="9"/>
  <c r="AF47" i="9"/>
  <c r="P48" i="9"/>
  <c r="AU35" i="9"/>
  <c r="E57" i="9" s="1"/>
  <c r="AS33" i="9"/>
  <c r="AV35" i="9" s="1"/>
  <c r="G57" i="9" s="1"/>
  <c r="R48" i="9"/>
  <c r="D42" i="7"/>
  <c r="AB10" i="4"/>
  <c r="E10" i="1" s="1"/>
  <c r="F23" i="8"/>
  <c r="AW23" i="8" s="1"/>
  <c r="AV23" i="8"/>
  <c r="AF8" i="4"/>
  <c r="H48" i="9"/>
  <c r="AQ22" i="7"/>
  <c r="AU42" i="9"/>
  <c r="E58" i="9" s="1"/>
  <c r="AS39" i="9"/>
  <c r="AV42" i="9" s="1"/>
  <c r="G58" i="9" s="1"/>
  <c r="M36" i="9"/>
  <c r="M35" i="9"/>
  <c r="S36" i="9"/>
  <c r="S35" i="9"/>
  <c r="J48" i="9"/>
  <c r="D22" i="3"/>
  <c r="AS10" i="9"/>
  <c r="AV14" i="9" s="1"/>
  <c r="AU14" i="9"/>
  <c r="N36" i="9"/>
  <c r="N35" i="9"/>
  <c r="H20" i="12"/>
  <c r="L48" i="9"/>
  <c r="I20" i="12"/>
  <c r="AM8" i="4"/>
  <c r="AS29" i="7"/>
  <c r="AQ29" i="7"/>
  <c r="AT29" i="7" s="1"/>
  <c r="T36" i="9"/>
  <c r="T35" i="9"/>
  <c r="D54" i="9"/>
  <c r="AV36" i="9"/>
  <c r="G9" i="4" l="1"/>
  <c r="G12" i="4" s="1"/>
  <c r="G16" i="4" s="1"/>
  <c r="N19" i="8"/>
  <c r="N18" i="8"/>
  <c r="N17" i="8"/>
  <c r="AE15" i="10"/>
  <c r="AE14" i="10"/>
  <c r="K14" i="8"/>
  <c r="K13" i="8"/>
  <c r="K26" i="8" s="1"/>
  <c r="AE46" i="9"/>
  <c r="AE49" i="9" s="1"/>
  <c r="AE51" i="9"/>
  <c r="AI9" i="8" s="1"/>
  <c r="AF46" i="9"/>
  <c r="AF49" i="9" s="1"/>
  <c r="AC27" i="4" s="1"/>
  <c r="AF15" i="10"/>
  <c r="AF14" i="10"/>
  <c r="I15" i="10"/>
  <c r="I14" i="10"/>
  <c r="AK13" i="8"/>
  <c r="AK14" i="8"/>
  <c r="AF51" i="9"/>
  <c r="AJ9" i="8" s="1"/>
  <c r="AV13" i="8"/>
  <c r="H28" i="10"/>
  <c r="H31" i="10" s="1"/>
  <c r="T47" i="9"/>
  <c r="S47" i="9"/>
  <c r="AK7" i="8"/>
  <c r="G47" i="9"/>
  <c r="K7" i="8"/>
  <c r="D20" i="4" s="1"/>
  <c r="H51" i="9"/>
  <c r="H47" i="9"/>
  <c r="D33" i="4"/>
  <c r="D8" i="6" s="1"/>
  <c r="F30" i="11"/>
  <c r="H27" i="11"/>
  <c r="G29" i="11"/>
  <c r="E33" i="4" s="1"/>
  <c r="E8" i="6" s="1"/>
  <c r="AV29" i="9"/>
  <c r="G56" i="9" s="1"/>
  <c r="H46" i="9"/>
  <c r="H49" i="9" s="1"/>
  <c r="E27" i="4" s="1"/>
  <c r="AG46" i="9"/>
  <c r="AG49" i="9" s="1"/>
  <c r="AD27" i="4" s="1"/>
  <c r="AR20" i="11"/>
  <c r="I9" i="10"/>
  <c r="F38" i="4" s="1"/>
  <c r="AG47" i="9"/>
  <c r="I18" i="10"/>
  <c r="I22" i="10"/>
  <c r="I28" i="10" s="1"/>
  <c r="I31" i="10" s="1"/>
  <c r="D40" i="7"/>
  <c r="M32" i="8"/>
  <c r="S51" i="9"/>
  <c r="J9" i="12"/>
  <c r="J12" i="12" s="1"/>
  <c r="J20" i="12" s="1"/>
  <c r="F9" i="5" s="1"/>
  <c r="I17" i="10"/>
  <c r="H32" i="7"/>
  <c r="J22" i="10" s="1"/>
  <c r="J28" i="10" s="1"/>
  <c r="J31" i="10" s="1"/>
  <c r="I22" i="7"/>
  <c r="D57" i="9"/>
  <c r="D62" i="9" s="1"/>
  <c r="E68" i="9"/>
  <c r="E70" i="9" s="1"/>
  <c r="AU47" i="9"/>
  <c r="AT13" i="7"/>
  <c r="AT14" i="7" s="1"/>
  <c r="AH46" i="9"/>
  <c r="AH49" i="9" s="1"/>
  <c r="AE27" i="4" s="1"/>
  <c r="E40" i="7"/>
  <c r="AO8" i="4"/>
  <c r="E54" i="9"/>
  <c r="Q48" i="9"/>
  <c r="G31" i="10"/>
  <c r="T46" i="9"/>
  <c r="T49" i="9" s="1"/>
  <c r="T48" i="9"/>
  <c r="C57" i="9"/>
  <c r="C62" i="9" s="1"/>
  <c r="S48" i="9"/>
  <c r="S46" i="9"/>
  <c r="S49" i="9" s="1"/>
  <c r="Y7" i="8"/>
  <c r="U51" i="9"/>
  <c r="Y9" i="8" s="1"/>
  <c r="AB19" i="4"/>
  <c r="AL7" i="8"/>
  <c r="AH51" i="9"/>
  <c r="AL9" i="8" s="1"/>
  <c r="AH47" i="9"/>
  <c r="U47" i="9"/>
  <c r="AB27" i="4"/>
  <c r="V24" i="9"/>
  <c r="V23" i="9"/>
  <c r="Z8" i="8" s="1"/>
  <c r="G62" i="9"/>
  <c r="E62" i="9"/>
  <c r="F42" i="7"/>
  <c r="AP10" i="4"/>
  <c r="G10" i="1" s="1"/>
  <c r="E12" i="6"/>
  <c r="E9" i="5"/>
  <c r="M48" i="9"/>
  <c r="J24" i="9"/>
  <c r="AU48" i="9"/>
  <c r="B57" i="9"/>
  <c r="B62" i="9" s="1"/>
  <c r="D12" i="6"/>
  <c r="D9" i="5"/>
  <c r="V48" i="9"/>
  <c r="F19" i="4"/>
  <c r="E8" i="1"/>
  <c r="AV48" i="9"/>
  <c r="E42" i="7"/>
  <c r="AO10" i="4"/>
  <c r="F10" i="1" s="1"/>
  <c r="AE19" i="4"/>
  <c r="I46" i="9"/>
  <c r="I49" i="9" s="1"/>
  <c r="G54" i="9"/>
  <c r="M7" i="8"/>
  <c r="I51" i="9"/>
  <c r="M9" i="8" s="1"/>
  <c r="G68" i="9"/>
  <c r="G70" i="9" s="1"/>
  <c r="AV51" i="9"/>
  <c r="AW9" i="8" s="1"/>
  <c r="AW14" i="8" s="1"/>
  <c r="AV47" i="9"/>
  <c r="N48" i="9"/>
  <c r="H56" i="9"/>
  <c r="T51" i="9"/>
  <c r="R19" i="4"/>
  <c r="AI24" i="9"/>
  <c r="AI23" i="9"/>
  <c r="U48" i="9"/>
  <c r="U46" i="9"/>
  <c r="U49" i="9" s="1"/>
  <c r="O19" i="8" l="1"/>
  <c r="O18" i="8"/>
  <c r="O17" i="8"/>
  <c r="AR24" i="11"/>
  <c r="AP22" i="6" s="1"/>
  <c r="F22" i="3" s="1"/>
  <c r="AI14" i="8"/>
  <c r="AI13" i="8"/>
  <c r="L9" i="8"/>
  <c r="AL13" i="8"/>
  <c r="AL14" i="8"/>
  <c r="G15" i="10"/>
  <c r="G14" i="10"/>
  <c r="G25" i="10" s="1"/>
  <c r="G27" i="10" s="1"/>
  <c r="AU15" i="10"/>
  <c r="AU14" i="10"/>
  <c r="AJ13" i="8"/>
  <c r="AJ14" i="8"/>
  <c r="AH15" i="10"/>
  <c r="AH14" i="10"/>
  <c r="M13" i="8"/>
  <c r="M14" i="8"/>
  <c r="AG15" i="10"/>
  <c r="AG14" i="10"/>
  <c r="S15" i="10"/>
  <c r="S14" i="10"/>
  <c r="W9" i="8"/>
  <c r="H15" i="10"/>
  <c r="H14" i="10"/>
  <c r="U15" i="10"/>
  <c r="U14" i="10"/>
  <c r="X9" i="8"/>
  <c r="Y14" i="8"/>
  <c r="Y13" i="8"/>
  <c r="T15" i="10"/>
  <c r="T14" i="10"/>
  <c r="AV15" i="10"/>
  <c r="AV14" i="10"/>
  <c r="AW13" i="8"/>
  <c r="I27" i="11"/>
  <c r="H29" i="11"/>
  <c r="F33" i="4" s="1"/>
  <c r="F8" i="6" s="1"/>
  <c r="G30" i="11"/>
  <c r="F32" i="11"/>
  <c r="D8" i="5" s="1"/>
  <c r="I25" i="10"/>
  <c r="I27" i="10" s="1"/>
  <c r="F28" i="4" s="1"/>
  <c r="N32" i="8"/>
  <c r="F12" i="6"/>
  <c r="J9" i="10"/>
  <c r="G38" i="4" s="1"/>
  <c r="J17" i="10"/>
  <c r="K9" i="12"/>
  <c r="K12" i="12" s="1"/>
  <c r="K20" i="12" s="1"/>
  <c r="G12" i="6" s="1"/>
  <c r="J18" i="10"/>
  <c r="J20" i="10"/>
  <c r="H9" i="4"/>
  <c r="H12" i="4" s="1"/>
  <c r="H16" i="4" s="1"/>
  <c r="I32" i="7"/>
  <c r="K17" i="7"/>
  <c r="K18" i="7" s="1"/>
  <c r="L18" i="7" s="1"/>
  <c r="M18" i="7" s="1"/>
  <c r="N18" i="7" s="1"/>
  <c r="O18" i="7" s="1"/>
  <c r="P18" i="7" s="1"/>
  <c r="J22" i="7"/>
  <c r="F40" i="7"/>
  <c r="AP8" i="4"/>
  <c r="G8" i="1" s="1"/>
  <c r="S19" i="4"/>
  <c r="F27" i="4"/>
  <c r="W24" i="9"/>
  <c r="W23" i="9"/>
  <c r="R27" i="4"/>
  <c r="K24" i="9"/>
  <c r="K23" i="9"/>
  <c r="F8" i="1"/>
  <c r="Z7" i="8"/>
  <c r="V51" i="9"/>
  <c r="Z9" i="8" s="1"/>
  <c r="AM7" i="8"/>
  <c r="AI47" i="9"/>
  <c r="AI51" i="9"/>
  <c r="AM9" i="8" s="1"/>
  <c r="N7" i="8"/>
  <c r="J51" i="9"/>
  <c r="N9" i="8" s="1"/>
  <c r="J47" i="9"/>
  <c r="Q27" i="4"/>
  <c r="AM8" i="8"/>
  <c r="AI46" i="9"/>
  <c r="AI49" i="9" s="1"/>
  <c r="J56" i="9"/>
  <c r="I56" i="9"/>
  <c r="V47" i="9"/>
  <c r="AJ23" i="9"/>
  <c r="AJ24" i="9"/>
  <c r="V46" i="9"/>
  <c r="V49" i="9" s="1"/>
  <c r="P27" i="4"/>
  <c r="N8" i="8"/>
  <c r="J46" i="9"/>
  <c r="J49" i="9" s="1"/>
  <c r="P19" i="8" l="1"/>
  <c r="P18" i="8"/>
  <c r="P17" i="8"/>
  <c r="H25" i="10"/>
  <c r="H27" i="10" s="1"/>
  <c r="E28" i="4" s="1"/>
  <c r="M26" i="8"/>
  <c r="F20" i="4" s="1"/>
  <c r="F22" i="4" s="1"/>
  <c r="F24" i="4" s="1"/>
  <c r="D28" i="4"/>
  <c r="AM14" i="8"/>
  <c r="AM13" i="8"/>
  <c r="V15" i="10"/>
  <c r="V14" i="10"/>
  <c r="AI15" i="10"/>
  <c r="AI14" i="10"/>
  <c r="W14" i="8"/>
  <c r="W13" i="8"/>
  <c r="L13" i="8"/>
  <c r="L14" i="8"/>
  <c r="J15" i="10"/>
  <c r="J14" i="10"/>
  <c r="J25" i="10" s="1"/>
  <c r="J27" i="10" s="1"/>
  <c r="G28" i="4" s="1"/>
  <c r="X14" i="8"/>
  <c r="X13" i="8"/>
  <c r="N13" i="8"/>
  <c r="N14" i="8"/>
  <c r="Z14" i="8"/>
  <c r="Z13" i="8"/>
  <c r="I17" i="12"/>
  <c r="I18" i="12" s="1"/>
  <c r="J17" i="12"/>
  <c r="J18" i="12" s="1"/>
  <c r="G32" i="11"/>
  <c r="E8" i="5" s="1"/>
  <c r="H30" i="11"/>
  <c r="I29" i="11"/>
  <c r="G33" i="4" s="1"/>
  <c r="G8" i="6" s="1"/>
  <c r="J27" i="11"/>
  <c r="Q18" i="7"/>
  <c r="R18" i="7" s="1"/>
  <c r="S18" i="7" s="1"/>
  <c r="M28" i="8"/>
  <c r="G9" i="5"/>
  <c r="I9" i="4"/>
  <c r="I12" i="4" s="1"/>
  <c r="I16" i="4" s="1"/>
  <c r="J32" i="7"/>
  <c r="K22" i="7"/>
  <c r="K17" i="10"/>
  <c r="K20" i="10"/>
  <c r="L9" i="12"/>
  <c r="L12" i="12" s="1"/>
  <c r="L20" i="12" s="1"/>
  <c r="K22" i="10"/>
  <c r="K28" i="10" s="1"/>
  <c r="K31" i="10" s="1"/>
  <c r="O32" i="8"/>
  <c r="K18" i="10"/>
  <c r="K9" i="10"/>
  <c r="H38" i="4" s="1"/>
  <c r="N26" i="8"/>
  <c r="G20" i="4" s="1"/>
  <c r="AN8" i="8"/>
  <c r="AJ46" i="9"/>
  <c r="AJ49" i="9" s="1"/>
  <c r="AF27" i="4"/>
  <c r="AA8" i="8"/>
  <c r="W46" i="9"/>
  <c r="W49" i="9" s="1"/>
  <c r="AF19" i="4"/>
  <c r="G27" i="4"/>
  <c r="O8" i="8"/>
  <c r="K46" i="9"/>
  <c r="K49" i="9" s="1"/>
  <c r="G19" i="4"/>
  <c r="S27" i="4"/>
  <c r="L24" i="9"/>
  <c r="L23" i="9"/>
  <c r="X24" i="9"/>
  <c r="X23" i="9"/>
  <c r="AA7" i="8"/>
  <c r="W51" i="9"/>
  <c r="AA9" i="8" s="1"/>
  <c r="W47" i="9"/>
  <c r="O7" i="8"/>
  <c r="K51" i="9"/>
  <c r="O9" i="8" s="1"/>
  <c r="K47" i="9"/>
  <c r="AN7" i="8"/>
  <c r="AJ51" i="9"/>
  <c r="AN9" i="8" s="1"/>
  <c r="AJ47" i="9"/>
  <c r="AK24" i="9"/>
  <c r="AK23" i="9"/>
  <c r="F30" i="4"/>
  <c r="F25" i="4"/>
  <c r="Q19" i="8" l="1"/>
  <c r="Q18" i="8"/>
  <c r="Q17" i="8"/>
  <c r="AA13" i="8"/>
  <c r="AA14" i="8"/>
  <c r="L26" i="8"/>
  <c r="AJ15" i="10"/>
  <c r="AJ14" i="10"/>
  <c r="AN13" i="8"/>
  <c r="AN14" i="8"/>
  <c r="W15" i="10"/>
  <c r="W14" i="10"/>
  <c r="K15" i="10"/>
  <c r="K14" i="10"/>
  <c r="O13" i="8"/>
  <c r="O14" i="8"/>
  <c r="J29" i="11"/>
  <c r="H33" i="4" s="1"/>
  <c r="H8" i="6" s="1"/>
  <c r="K27" i="11"/>
  <c r="H32" i="11"/>
  <c r="F8" i="5" s="1"/>
  <c r="I30" i="11"/>
  <c r="K17" i="12"/>
  <c r="K18" i="12" s="1"/>
  <c r="N28" i="8"/>
  <c r="N30" i="8" s="1"/>
  <c r="N31" i="8" s="1"/>
  <c r="M30" i="8"/>
  <c r="M31" i="8" s="1"/>
  <c r="J10" i="12"/>
  <c r="J13" i="12" s="1"/>
  <c r="J9" i="4"/>
  <c r="J12" i="4" s="1"/>
  <c r="J16" i="4" s="1"/>
  <c r="K32" i="7"/>
  <c r="L22" i="7"/>
  <c r="H9" i="5"/>
  <c r="H12" i="6"/>
  <c r="L17" i="10"/>
  <c r="L9" i="10"/>
  <c r="I38" i="4" s="1"/>
  <c r="L18" i="10"/>
  <c r="L22" i="10"/>
  <c r="L28" i="10" s="1"/>
  <c r="L31" i="10" s="1"/>
  <c r="M9" i="12"/>
  <c r="M12" i="12" s="1"/>
  <c r="M20" i="12" s="1"/>
  <c r="I9" i="5" s="1"/>
  <c r="P32" i="8"/>
  <c r="L20" i="10"/>
  <c r="T27" i="4"/>
  <c r="AO7" i="8"/>
  <c r="AK51" i="9"/>
  <c r="AO9" i="8" s="1"/>
  <c r="AK47" i="9"/>
  <c r="H19" i="4"/>
  <c r="F35" i="4"/>
  <c r="F31" i="4"/>
  <c r="AB8" i="8"/>
  <c r="X46" i="9"/>
  <c r="X49" i="9" s="1"/>
  <c r="M23" i="9"/>
  <c r="M24" i="9"/>
  <c r="K25" i="10"/>
  <c r="K27" i="10" s="1"/>
  <c r="H28" i="4" s="1"/>
  <c r="AB7" i="8"/>
  <c r="X51" i="9"/>
  <c r="AB9" i="8" s="1"/>
  <c r="X47" i="9"/>
  <c r="P7" i="8"/>
  <c r="L51" i="9"/>
  <c r="P9" i="8" s="1"/>
  <c r="L47" i="9"/>
  <c r="AG19" i="4"/>
  <c r="T19" i="4"/>
  <c r="AL24" i="9"/>
  <c r="AL23" i="9"/>
  <c r="Y24" i="9"/>
  <c r="Y23" i="9"/>
  <c r="G22" i="4"/>
  <c r="G24" i="4" s="1"/>
  <c r="AO8" i="8"/>
  <c r="AK46" i="9"/>
  <c r="AK49" i="9" s="1"/>
  <c r="P8" i="8"/>
  <c r="L46" i="9"/>
  <c r="L49" i="9" s="1"/>
  <c r="AG27" i="4"/>
  <c r="H27" i="4"/>
  <c r="R19" i="8" l="1"/>
  <c r="R18" i="8"/>
  <c r="R17" i="8"/>
  <c r="O26" i="8"/>
  <c r="H20" i="4" s="1"/>
  <c r="X15" i="10"/>
  <c r="X14" i="10"/>
  <c r="AB14" i="8"/>
  <c r="AB13" i="8"/>
  <c r="AO13" i="8"/>
  <c r="AO14" i="8"/>
  <c r="L15" i="10"/>
  <c r="L14" i="10"/>
  <c r="L25" i="10" s="1"/>
  <c r="L27" i="10" s="1"/>
  <c r="I28" i="4" s="1"/>
  <c r="AK15" i="10"/>
  <c r="AK14" i="10"/>
  <c r="E20" i="4"/>
  <c r="E22" i="4" s="1"/>
  <c r="E24" i="4" s="1"/>
  <c r="L28" i="8"/>
  <c r="P13" i="8"/>
  <c r="P14" i="8"/>
  <c r="I32" i="11"/>
  <c r="G8" i="5" s="1"/>
  <c r="J30" i="11"/>
  <c r="K29" i="11"/>
  <c r="I33" i="4" s="1"/>
  <c r="I8" i="6" s="1"/>
  <c r="L27" i="11"/>
  <c r="K10" i="12"/>
  <c r="K13" i="12" s="1"/>
  <c r="K15" i="12" s="1"/>
  <c r="H22" i="4"/>
  <c r="H24" i="4" s="1"/>
  <c r="H25" i="4" s="1"/>
  <c r="O28" i="8"/>
  <c r="L10" i="12" s="1"/>
  <c r="L13" i="12" s="1"/>
  <c r="J21" i="12"/>
  <c r="J15" i="12"/>
  <c r="P26" i="8"/>
  <c r="P28" i="8" s="1"/>
  <c r="I12" i="6"/>
  <c r="K9" i="4"/>
  <c r="K12" i="4" s="1"/>
  <c r="K16" i="4" s="1"/>
  <c r="L32" i="7"/>
  <c r="M22" i="10"/>
  <c r="M28" i="10" s="1"/>
  <c r="M31" i="10" s="1"/>
  <c r="M18" i="10"/>
  <c r="N9" i="12"/>
  <c r="N12" i="12" s="1"/>
  <c r="N20" i="12" s="1"/>
  <c r="M20" i="10"/>
  <c r="M17" i="10"/>
  <c r="M9" i="10"/>
  <c r="J38" i="4" s="1"/>
  <c r="Q32" i="8"/>
  <c r="L17" i="12"/>
  <c r="L18" i="12" s="1"/>
  <c r="I27" i="4"/>
  <c r="AH19" i="4"/>
  <c r="Z24" i="9"/>
  <c r="Z23" i="9"/>
  <c r="U27" i="4"/>
  <c r="U19" i="4"/>
  <c r="G30" i="4"/>
  <c r="G25" i="4"/>
  <c r="AM24" i="9"/>
  <c r="AM23" i="9"/>
  <c r="Q7" i="8"/>
  <c r="M51" i="9"/>
  <c r="Q9" i="8" s="1"/>
  <c r="M47" i="9"/>
  <c r="F40" i="4"/>
  <c r="F36" i="4"/>
  <c r="AP8" i="8"/>
  <c r="AL46" i="9"/>
  <c r="AL49" i="9" s="1"/>
  <c r="N23" i="9"/>
  <c r="N24" i="9"/>
  <c r="AC8" i="8"/>
  <c r="Y46" i="9"/>
  <c r="Y49" i="9" s="1"/>
  <c r="AP7" i="8"/>
  <c r="AL51" i="9"/>
  <c r="AP9" i="8" s="1"/>
  <c r="AL47" i="9"/>
  <c r="Q8" i="8"/>
  <c r="M46" i="9"/>
  <c r="M49" i="9" s="1"/>
  <c r="I19" i="4"/>
  <c r="AH27" i="4"/>
  <c r="AC7" i="8"/>
  <c r="Y51" i="9"/>
  <c r="AC9" i="8" s="1"/>
  <c r="Y47" i="9"/>
  <c r="Y15" i="10" l="1"/>
  <c r="Y14" i="10"/>
  <c r="AC14" i="8"/>
  <c r="AC13" i="8"/>
  <c r="AP13" i="8"/>
  <c r="AP14" i="8"/>
  <c r="M15" i="10"/>
  <c r="M14" i="10"/>
  <c r="M25" i="10" s="1"/>
  <c r="M27" i="10" s="1"/>
  <c r="J28" i="4" s="1"/>
  <c r="Q14" i="8"/>
  <c r="Q13" i="8"/>
  <c r="E30" i="4"/>
  <c r="E25" i="4"/>
  <c r="AL15" i="10"/>
  <c r="AL14" i="10"/>
  <c r="I10" i="12"/>
  <c r="I13" i="12" s="1"/>
  <c r="L30" i="8"/>
  <c r="L31" i="8" s="1"/>
  <c r="I20" i="4"/>
  <c r="K21" i="12"/>
  <c r="K23" i="12" s="1"/>
  <c r="O30" i="8"/>
  <c r="O31" i="8" s="1"/>
  <c r="L29" i="11"/>
  <c r="J33" i="4" s="1"/>
  <c r="J8" i="6" s="1"/>
  <c r="M27" i="11"/>
  <c r="H30" i="4"/>
  <c r="H35" i="4" s="1"/>
  <c r="K30" i="11"/>
  <c r="J32" i="11"/>
  <c r="H8" i="5" s="1"/>
  <c r="Q26" i="8"/>
  <c r="J20" i="4" s="1"/>
  <c r="M17" i="12"/>
  <c r="M18" i="12" s="1"/>
  <c r="F17" i="5"/>
  <c r="J23" i="12"/>
  <c r="I22" i="4"/>
  <c r="I24" i="4" s="1"/>
  <c r="I25" i="4" s="1"/>
  <c r="N22" i="10"/>
  <c r="N28" i="10" s="1"/>
  <c r="N31" i="10" s="1"/>
  <c r="N20" i="10"/>
  <c r="N9" i="10"/>
  <c r="K38" i="4" s="1"/>
  <c r="N17" i="10"/>
  <c r="R32" i="8"/>
  <c r="O9" i="12"/>
  <c r="O12" i="12" s="1"/>
  <c r="O20" i="12" s="1"/>
  <c r="N18" i="10"/>
  <c r="M22" i="7"/>
  <c r="J9" i="5"/>
  <c r="J12" i="6"/>
  <c r="AN24" i="9"/>
  <c r="AN23" i="9"/>
  <c r="AQ8" i="8"/>
  <c r="AM46" i="9"/>
  <c r="AM49" i="9" s="1"/>
  <c r="AD8" i="8"/>
  <c r="Z46" i="9"/>
  <c r="Z49" i="9" s="1"/>
  <c r="AA24" i="9"/>
  <c r="AA23" i="9"/>
  <c r="J27" i="4"/>
  <c r="L21" i="12"/>
  <c r="L15" i="12"/>
  <c r="AQ7" i="8"/>
  <c r="AM51" i="9"/>
  <c r="AQ9" i="8" s="1"/>
  <c r="AM47" i="9"/>
  <c r="AD7" i="8"/>
  <c r="Z51" i="9"/>
  <c r="AD9" i="8" s="1"/>
  <c r="Z47" i="9"/>
  <c r="J19" i="4"/>
  <c r="V19" i="4"/>
  <c r="R8" i="8"/>
  <c r="N46" i="9"/>
  <c r="N49" i="9" s="1"/>
  <c r="G31" i="4"/>
  <c r="G35" i="4"/>
  <c r="O23" i="9"/>
  <c r="O24" i="9"/>
  <c r="V27" i="4"/>
  <c r="R7" i="8"/>
  <c r="N51" i="9"/>
  <c r="R9" i="8" s="1"/>
  <c r="N47" i="9"/>
  <c r="AI27" i="4"/>
  <c r="F41" i="4"/>
  <c r="F45" i="4"/>
  <c r="M10" i="12"/>
  <c r="M13" i="12" s="1"/>
  <c r="P30" i="8"/>
  <c r="P31" i="8" s="1"/>
  <c r="AI19" i="4"/>
  <c r="S19" i="8" l="1"/>
  <c r="S18" i="8"/>
  <c r="S17" i="8"/>
  <c r="I21" i="12"/>
  <c r="I15" i="12"/>
  <c r="AQ14" i="8"/>
  <c r="AQ13" i="8"/>
  <c r="E31" i="4"/>
  <c r="E35" i="4"/>
  <c r="R13" i="8"/>
  <c r="R14" i="8"/>
  <c r="Z15" i="10"/>
  <c r="Z14" i="10"/>
  <c r="AM15" i="10"/>
  <c r="AM14" i="10"/>
  <c r="G17" i="5"/>
  <c r="N15" i="10"/>
  <c r="N14" i="10"/>
  <c r="N25" i="10" s="1"/>
  <c r="N27" i="10" s="1"/>
  <c r="K28" i="4" s="1"/>
  <c r="AD14" i="8"/>
  <c r="AD13" i="8"/>
  <c r="G14" i="6"/>
  <c r="H31" i="4"/>
  <c r="Q28" i="8"/>
  <c r="N10" i="12" s="1"/>
  <c r="N13" i="12" s="1"/>
  <c r="N27" i="11"/>
  <c r="M29" i="11"/>
  <c r="K33" i="4" s="1"/>
  <c r="K8" i="6" s="1"/>
  <c r="K32" i="11"/>
  <c r="I8" i="5" s="1"/>
  <c r="L30" i="11"/>
  <c r="I30" i="4"/>
  <c r="I31" i="4" s="1"/>
  <c r="K12" i="6"/>
  <c r="K9" i="5"/>
  <c r="T17" i="7"/>
  <c r="T18" i="7" s="1"/>
  <c r="N22" i="7"/>
  <c r="L9" i="4"/>
  <c r="M32" i="7"/>
  <c r="F7" i="6"/>
  <c r="F9" i="6" s="1"/>
  <c r="F46" i="4"/>
  <c r="S7" i="8"/>
  <c r="O51" i="9"/>
  <c r="S9" i="8" s="1"/>
  <c r="O47" i="9"/>
  <c r="AO24" i="9"/>
  <c r="AO23" i="9"/>
  <c r="AR7" i="8"/>
  <c r="AN51" i="9"/>
  <c r="AR9" i="8" s="1"/>
  <c r="AN47" i="9"/>
  <c r="M21" i="12"/>
  <c r="M15" i="12"/>
  <c r="G40" i="4"/>
  <c r="G36" i="4"/>
  <c r="H40" i="4"/>
  <c r="H36" i="4"/>
  <c r="N17" i="12"/>
  <c r="N18" i="12" s="1"/>
  <c r="W19" i="4"/>
  <c r="J22" i="4"/>
  <c r="J24" i="4" s="1"/>
  <c r="AB24" i="9"/>
  <c r="AB23" i="9"/>
  <c r="AJ27" i="4"/>
  <c r="W27" i="4"/>
  <c r="K27" i="4"/>
  <c r="AE8" i="8"/>
  <c r="AA46" i="9"/>
  <c r="AA49" i="9" s="1"/>
  <c r="AJ19" i="4"/>
  <c r="S8" i="8"/>
  <c r="O46" i="9"/>
  <c r="O49" i="9" s="1"/>
  <c r="H17" i="5"/>
  <c r="H14" i="6"/>
  <c r="L23" i="12"/>
  <c r="P23" i="9"/>
  <c r="P24" i="9"/>
  <c r="K19" i="4"/>
  <c r="AE7" i="8"/>
  <c r="AA51" i="9"/>
  <c r="AE9" i="8" s="1"/>
  <c r="AA47" i="9"/>
  <c r="AR8" i="8"/>
  <c r="AN46" i="9"/>
  <c r="AN49" i="9" s="1"/>
  <c r="T19" i="8" l="1"/>
  <c r="T18" i="8"/>
  <c r="T17" i="8"/>
  <c r="R26" i="8"/>
  <c r="K20" i="4" s="1"/>
  <c r="E40" i="4"/>
  <c r="E36" i="4"/>
  <c r="S14" i="8"/>
  <c r="S13" i="8"/>
  <c r="AN15" i="10"/>
  <c r="AN14" i="10"/>
  <c r="O15" i="10"/>
  <c r="O14" i="10"/>
  <c r="AA15" i="10"/>
  <c r="AA14" i="10"/>
  <c r="AE14" i="8"/>
  <c r="AE13" i="8"/>
  <c r="AR14" i="8"/>
  <c r="AR13" i="8"/>
  <c r="E17" i="5"/>
  <c r="I23" i="12"/>
  <c r="F14" i="6"/>
  <c r="F16" i="6" s="1"/>
  <c r="F27" i="6" s="1"/>
  <c r="Q30" i="8"/>
  <c r="Q31" i="8" s="1"/>
  <c r="M30" i="11"/>
  <c r="L32" i="11"/>
  <c r="J8" i="5" s="1"/>
  <c r="O27" i="11"/>
  <c r="N29" i="11"/>
  <c r="L33" i="4" s="1"/>
  <c r="L8" i="6" s="1"/>
  <c r="I35" i="4"/>
  <c r="I36" i="4" s="1"/>
  <c r="K22" i="4"/>
  <c r="K24" i="4" s="1"/>
  <c r="K30" i="4" s="1"/>
  <c r="R28" i="8"/>
  <c r="O10" i="12" s="1"/>
  <c r="O13" i="12" s="1"/>
  <c r="B49" i="7"/>
  <c r="M9" i="4"/>
  <c r="M12" i="4" s="1"/>
  <c r="M16" i="4" s="1"/>
  <c r="N32" i="7"/>
  <c r="O22" i="7"/>
  <c r="Z17" i="7"/>
  <c r="O17" i="12"/>
  <c r="O18" i="12" s="1"/>
  <c r="L12" i="4"/>
  <c r="L16" i="4" s="1"/>
  <c r="O17" i="10"/>
  <c r="O18" i="10"/>
  <c r="O22" i="10"/>
  <c r="O20" i="10"/>
  <c r="S32" i="8"/>
  <c r="O9" i="10"/>
  <c r="P9" i="12"/>
  <c r="P12" i="12" s="1"/>
  <c r="P20" i="12" s="1"/>
  <c r="S26" i="8"/>
  <c r="L20" i="4" s="1"/>
  <c r="AF8" i="8"/>
  <c r="AB46" i="9"/>
  <c r="AB49" i="9" s="1"/>
  <c r="AK19" i="4"/>
  <c r="L19" i="4"/>
  <c r="X19" i="4"/>
  <c r="AC23" i="9"/>
  <c r="AC24" i="9"/>
  <c r="AS7" i="8"/>
  <c r="AO51" i="9"/>
  <c r="AS9" i="8" s="1"/>
  <c r="AO47" i="9"/>
  <c r="AP23" i="9"/>
  <c r="L27" i="4"/>
  <c r="G41" i="4"/>
  <c r="G45" i="4"/>
  <c r="AK27" i="4"/>
  <c r="N21" i="12"/>
  <c r="N15" i="12"/>
  <c r="T8" i="8"/>
  <c r="P46" i="9"/>
  <c r="P49" i="9" s="1"/>
  <c r="J25" i="4"/>
  <c r="J30" i="4"/>
  <c r="AF7" i="8"/>
  <c r="AB51" i="9"/>
  <c r="AB47" i="9"/>
  <c r="Q24" i="9"/>
  <c r="Q23" i="9"/>
  <c r="T7" i="8"/>
  <c r="P51" i="9"/>
  <c r="T9" i="8" s="1"/>
  <c r="P47" i="9"/>
  <c r="X27" i="4"/>
  <c r="H45" i="4"/>
  <c r="H41" i="4"/>
  <c r="I17" i="5"/>
  <c r="I14" i="6"/>
  <c r="M23" i="12"/>
  <c r="AS8" i="8"/>
  <c r="AO46" i="9"/>
  <c r="AO49" i="9" s="1"/>
  <c r="U19" i="8" l="1"/>
  <c r="U18" i="8"/>
  <c r="U17" i="8"/>
  <c r="T13" i="8"/>
  <c r="T14" i="8"/>
  <c r="AB15" i="10"/>
  <c r="AB14" i="10"/>
  <c r="AO15" i="10"/>
  <c r="AO14" i="10"/>
  <c r="E45" i="4"/>
  <c r="E41" i="4"/>
  <c r="P15" i="10"/>
  <c r="P14" i="10"/>
  <c r="AF9" i="8"/>
  <c r="AS13" i="8"/>
  <c r="AS14" i="8"/>
  <c r="R30" i="8"/>
  <c r="R31" i="8" s="1"/>
  <c r="I40" i="4"/>
  <c r="I45" i="4" s="1"/>
  <c r="K25" i="4"/>
  <c r="P27" i="11"/>
  <c r="O29" i="11"/>
  <c r="M33" i="4" s="1"/>
  <c r="M8" i="6" s="1"/>
  <c r="N30" i="11"/>
  <c r="M32" i="11"/>
  <c r="K8" i="5" s="1"/>
  <c r="S28" i="8"/>
  <c r="P10" i="12" s="1"/>
  <c r="P13" i="12" s="1"/>
  <c r="U18" i="7"/>
  <c r="V18" i="7" s="1"/>
  <c r="W18" i="7" s="1"/>
  <c r="X18" i="7" s="1"/>
  <c r="Y18" i="7" s="1"/>
  <c r="Z18" i="7" s="1"/>
  <c r="AA18" i="7" s="1"/>
  <c r="AB18" i="7" s="1"/>
  <c r="AC18" i="7" s="1"/>
  <c r="L22" i="4"/>
  <c r="L24" i="4" s="1"/>
  <c r="L25" i="4" s="1"/>
  <c r="O28" i="10"/>
  <c r="O32" i="7"/>
  <c r="N9" i="4"/>
  <c r="L38" i="4"/>
  <c r="P20" i="10"/>
  <c r="P22" i="10"/>
  <c r="P28" i="10" s="1"/>
  <c r="P31" i="10" s="1"/>
  <c r="P17" i="10"/>
  <c r="T32" i="8"/>
  <c r="P9" i="10"/>
  <c r="M38" i="4" s="1"/>
  <c r="P18" i="10"/>
  <c r="Q9" i="12"/>
  <c r="Q12" i="12" s="1"/>
  <c r="Q20" i="12" s="1"/>
  <c r="P22" i="7"/>
  <c r="O25" i="10"/>
  <c r="O27" i="10" s="1"/>
  <c r="L28" i="4" s="1"/>
  <c r="L12" i="6"/>
  <c r="L9" i="5"/>
  <c r="B50" i="7"/>
  <c r="T26" i="8"/>
  <c r="M20" i="4" s="1"/>
  <c r="AG8" i="8"/>
  <c r="AC46" i="9"/>
  <c r="AC49" i="9" s="1"/>
  <c r="AD24" i="9"/>
  <c r="AD23" i="9"/>
  <c r="S30" i="8"/>
  <c r="S31" i="8" s="1"/>
  <c r="K35" i="4"/>
  <c r="K31" i="4"/>
  <c r="U7" i="8"/>
  <c r="Q51" i="9"/>
  <c r="U9" i="8" s="1"/>
  <c r="Q47" i="9"/>
  <c r="D66" i="9"/>
  <c r="D70" i="9" s="1"/>
  <c r="AT7" i="8"/>
  <c r="AP51" i="9"/>
  <c r="AT9" i="8" s="1"/>
  <c r="AP47" i="9"/>
  <c r="H46" i="4"/>
  <c r="H7" i="6"/>
  <c r="H9" i="6" s="1"/>
  <c r="H16" i="6" s="1"/>
  <c r="H27" i="6" s="1"/>
  <c r="J31" i="4"/>
  <c r="J35" i="4"/>
  <c r="Y27" i="4"/>
  <c r="U8" i="8"/>
  <c r="Q46" i="9"/>
  <c r="Q49" i="9" s="1"/>
  <c r="AT8" i="8"/>
  <c r="AP46" i="9"/>
  <c r="AP49" i="9" s="1"/>
  <c r="D55" i="9"/>
  <c r="Y19" i="4"/>
  <c r="J17" i="5"/>
  <c r="J14" i="6"/>
  <c r="N23" i="12"/>
  <c r="M27" i="4"/>
  <c r="R24" i="9"/>
  <c r="R23" i="9"/>
  <c r="M19" i="4"/>
  <c r="O21" i="12"/>
  <c r="O15" i="12"/>
  <c r="G7" i="6"/>
  <c r="G46" i="4"/>
  <c r="AL27" i="4"/>
  <c r="AL19" i="4"/>
  <c r="AG7" i="8"/>
  <c r="AC51" i="9"/>
  <c r="AG9" i="8" s="1"/>
  <c r="AC47" i="9"/>
  <c r="V19" i="8" l="1"/>
  <c r="V18" i="8"/>
  <c r="V17" i="8"/>
  <c r="E46" i="4"/>
  <c r="E7" i="6"/>
  <c r="E9" i="6" s="1"/>
  <c r="Q15" i="10"/>
  <c r="Q14" i="10"/>
  <c r="AF13" i="8"/>
  <c r="AF14" i="8"/>
  <c r="AP15" i="10"/>
  <c r="AP14" i="10"/>
  <c r="AC15" i="10"/>
  <c r="AC14" i="10"/>
  <c r="AT14" i="8"/>
  <c r="AT13" i="8"/>
  <c r="U13" i="8"/>
  <c r="U14" i="8"/>
  <c r="AG14" i="8"/>
  <c r="AG13" i="8"/>
  <c r="I41" i="4"/>
  <c r="P29" i="11"/>
  <c r="N33" i="4" s="1"/>
  <c r="N8" i="6" s="1"/>
  <c r="Q27" i="11"/>
  <c r="O30" i="11"/>
  <c r="N32" i="11"/>
  <c r="L8" i="5" s="1"/>
  <c r="L30" i="4"/>
  <c r="L35" i="4" s="1"/>
  <c r="T28" i="8"/>
  <c r="T30" i="8" s="1"/>
  <c r="T31" i="8" s="1"/>
  <c r="AD18" i="7"/>
  <c r="AE18" i="7" s="1"/>
  <c r="AF18" i="7" s="1"/>
  <c r="AG18" i="7" s="1"/>
  <c r="AH18" i="7" s="1"/>
  <c r="AI18" i="7" s="1"/>
  <c r="AJ18" i="7" s="1"/>
  <c r="AK18" i="7" s="1"/>
  <c r="AL18" i="7" s="1"/>
  <c r="AM18" i="7" s="1"/>
  <c r="AN18" i="7" s="1"/>
  <c r="AS18" i="7" s="1"/>
  <c r="M22" i="4"/>
  <c r="M24" i="4" s="1"/>
  <c r="M25" i="4" s="1"/>
  <c r="P17" i="12"/>
  <c r="P18" i="12" s="1"/>
  <c r="P21" i="12" s="1"/>
  <c r="B41" i="7"/>
  <c r="B43" i="7" s="1"/>
  <c r="O9" i="4"/>
  <c r="O12" i="4" s="1"/>
  <c r="O16" i="4" s="1"/>
  <c r="P32" i="7"/>
  <c r="Q22" i="7"/>
  <c r="P25" i="10"/>
  <c r="P27" i="10" s="1"/>
  <c r="Q22" i="10"/>
  <c r="U32" i="8"/>
  <c r="R9" i="12"/>
  <c r="R12" i="12" s="1"/>
  <c r="R20" i="12" s="1"/>
  <c r="Q18" i="10"/>
  <c r="Q17" i="10"/>
  <c r="Q9" i="10"/>
  <c r="Q20" i="10"/>
  <c r="M9" i="5"/>
  <c r="M12" i="6"/>
  <c r="N12" i="4"/>
  <c r="N16" i="4" s="1"/>
  <c r="O31" i="10"/>
  <c r="J40" i="4"/>
  <c r="J36" i="4"/>
  <c r="K40" i="4"/>
  <c r="K36" i="4"/>
  <c r="I46" i="4"/>
  <c r="I7" i="6"/>
  <c r="I9" i="6" s="1"/>
  <c r="I16" i="6" s="1"/>
  <c r="I27" i="6" s="1"/>
  <c r="P15" i="12"/>
  <c r="AM27" i="4"/>
  <c r="E27" i="1" s="1"/>
  <c r="AM19" i="4"/>
  <c r="D37" i="8"/>
  <c r="G9" i="6"/>
  <c r="G16" i="6" s="1"/>
  <c r="G27" i="6" s="1"/>
  <c r="AH8" i="8"/>
  <c r="AD46" i="9"/>
  <c r="AD49" i="9" s="1"/>
  <c r="C55" i="9"/>
  <c r="Z27" i="4"/>
  <c r="K17" i="5"/>
  <c r="K14" i="6"/>
  <c r="O23" i="12"/>
  <c r="D75" i="9"/>
  <c r="D59" i="9"/>
  <c r="D79" i="9" s="1"/>
  <c r="V8" i="8"/>
  <c r="R46" i="9"/>
  <c r="R49" i="9" s="1"/>
  <c r="N27" i="4"/>
  <c r="B66" i="9"/>
  <c r="B70" i="9" s="1"/>
  <c r="V7" i="8"/>
  <c r="R51" i="9"/>
  <c r="V9" i="8" s="1"/>
  <c r="R47" i="9"/>
  <c r="N19" i="4"/>
  <c r="C66" i="9"/>
  <c r="C70" i="9" s="1"/>
  <c r="AH7" i="8"/>
  <c r="AD51" i="9"/>
  <c r="AH9" i="8" s="1"/>
  <c r="AD47" i="9"/>
  <c r="Z19" i="4"/>
  <c r="W19" i="8" l="1"/>
  <c r="W18" i="8"/>
  <c r="W17" i="8"/>
  <c r="W26" i="8" s="1"/>
  <c r="U26" i="8"/>
  <c r="N20" i="4" s="1"/>
  <c r="V13" i="8"/>
  <c r="V14" i="8"/>
  <c r="R15" i="10"/>
  <c r="R14" i="10"/>
  <c r="AD15" i="10"/>
  <c r="AD14" i="10"/>
  <c r="AH14" i="8"/>
  <c r="AH13" i="8"/>
  <c r="V26" i="8"/>
  <c r="O20" i="4" s="1"/>
  <c r="C20" i="1" s="1"/>
  <c r="N22" i="4"/>
  <c r="N24" i="4" s="1"/>
  <c r="N25" i="4" s="1"/>
  <c r="U28" i="8"/>
  <c r="R10" i="12" s="1"/>
  <c r="R13" i="12" s="1"/>
  <c r="Q10" i="12"/>
  <c r="Q13" i="12" s="1"/>
  <c r="Q15" i="12" s="1"/>
  <c r="L31" i="4"/>
  <c r="P30" i="11"/>
  <c r="O32" i="11"/>
  <c r="M8" i="5" s="1"/>
  <c r="R27" i="11"/>
  <c r="Q29" i="11"/>
  <c r="O33" i="4" s="1"/>
  <c r="AT18" i="7"/>
  <c r="E50" i="7"/>
  <c r="AS22" i="7"/>
  <c r="Q25" i="10"/>
  <c r="Q27" i="10" s="1"/>
  <c r="R17" i="12" s="1"/>
  <c r="R18" i="12" s="1"/>
  <c r="C9" i="1"/>
  <c r="C12" i="1" s="1"/>
  <c r="C16" i="1" s="1"/>
  <c r="Q28" i="10"/>
  <c r="R22" i="7"/>
  <c r="R9" i="10"/>
  <c r="O38" i="4" s="1"/>
  <c r="S9" i="12"/>
  <c r="S12" i="12" s="1"/>
  <c r="S20" i="12" s="1"/>
  <c r="R22" i="10"/>
  <c r="R28" i="10" s="1"/>
  <c r="R31" i="10" s="1"/>
  <c r="V32" i="8"/>
  <c r="R17" i="10"/>
  <c r="R18" i="10"/>
  <c r="R20" i="10"/>
  <c r="P9" i="4"/>
  <c r="P12" i="4" s="1"/>
  <c r="P16" i="4" s="1"/>
  <c r="Q32" i="7"/>
  <c r="N38" i="4"/>
  <c r="M28" i="4"/>
  <c r="M30" i="4" s="1"/>
  <c r="M31" i="4" s="1"/>
  <c r="Q17" i="12"/>
  <c r="Q18" i="12" s="1"/>
  <c r="N12" i="6"/>
  <c r="N9" i="5"/>
  <c r="B41" i="8"/>
  <c r="B74" i="9"/>
  <c r="O27" i="4"/>
  <c r="K45" i="4"/>
  <c r="K41" i="4"/>
  <c r="C75" i="9"/>
  <c r="C59" i="9"/>
  <c r="C79" i="9" s="1"/>
  <c r="AA27" i="4"/>
  <c r="D27" i="1" s="1"/>
  <c r="L14" i="6"/>
  <c r="L17" i="5"/>
  <c r="P23" i="12"/>
  <c r="J45" i="4"/>
  <c r="J41" i="4"/>
  <c r="O19" i="4"/>
  <c r="AA19" i="4"/>
  <c r="C37" i="8"/>
  <c r="L40" i="4"/>
  <c r="L36" i="4"/>
  <c r="E19" i="1"/>
  <c r="X19" i="8" l="1"/>
  <c r="X18" i="8"/>
  <c r="X17" i="8"/>
  <c r="X26" i="8" s="1"/>
  <c r="AV19" i="8"/>
  <c r="AV18" i="8"/>
  <c r="AV17" i="8"/>
  <c r="AV26" i="8" s="1"/>
  <c r="W28" i="8"/>
  <c r="T10" i="12" s="1"/>
  <c r="T13" i="12" s="1"/>
  <c r="P20" i="4"/>
  <c r="P22" i="4" s="1"/>
  <c r="P24" i="4" s="1"/>
  <c r="P25" i="4" s="1"/>
  <c r="B38" i="8"/>
  <c r="V28" i="8"/>
  <c r="V30" i="8" s="1"/>
  <c r="V31" i="8" s="1"/>
  <c r="Q21" i="12"/>
  <c r="M17" i="5" s="1"/>
  <c r="U30" i="8"/>
  <c r="U31" i="8" s="1"/>
  <c r="N28" i="4"/>
  <c r="O8" i="6"/>
  <c r="B8" i="3" s="1"/>
  <c r="C33" i="1"/>
  <c r="R29" i="11"/>
  <c r="P33" i="4" s="1"/>
  <c r="P8" i="6" s="1"/>
  <c r="S27" i="11"/>
  <c r="Q30" i="11"/>
  <c r="P32" i="11"/>
  <c r="N8" i="5" s="1"/>
  <c r="E41" i="7"/>
  <c r="E43" i="7" s="1"/>
  <c r="AO9" i="4"/>
  <c r="AS32" i="7"/>
  <c r="AT22" i="7"/>
  <c r="F50" i="7"/>
  <c r="N30" i="4"/>
  <c r="N35" i="4" s="1"/>
  <c r="B39" i="10"/>
  <c r="M35" i="4"/>
  <c r="M36" i="4" s="1"/>
  <c r="R25" i="10"/>
  <c r="R27" i="10" s="1"/>
  <c r="O28" i="4" s="1"/>
  <c r="C28" i="1" s="1"/>
  <c r="O9" i="5"/>
  <c r="B9" i="2" s="1"/>
  <c r="O12" i="6"/>
  <c r="B12" i="3" s="1"/>
  <c r="S18" i="10"/>
  <c r="S20" i="10"/>
  <c r="S9" i="10"/>
  <c r="W32" i="8"/>
  <c r="W30" i="8"/>
  <c r="S17" i="10"/>
  <c r="T9" i="12"/>
  <c r="T12" i="12" s="1"/>
  <c r="S22" i="10"/>
  <c r="S28" i="10" s="1"/>
  <c r="S31" i="10" s="1"/>
  <c r="C38" i="1"/>
  <c r="S22" i="7"/>
  <c r="Q31" i="10"/>
  <c r="B43" i="10"/>
  <c r="Q9" i="4"/>
  <c r="Q12" i="4" s="1"/>
  <c r="Q16" i="4" s="1"/>
  <c r="R32" i="7"/>
  <c r="B38" i="10"/>
  <c r="B37" i="10" s="1"/>
  <c r="J7" i="6"/>
  <c r="J46" i="4"/>
  <c r="D19" i="1"/>
  <c r="L41" i="4"/>
  <c r="L45" i="4"/>
  <c r="O22" i="4"/>
  <c r="O24" i="4" s="1"/>
  <c r="R21" i="12"/>
  <c r="R15" i="12"/>
  <c r="K46" i="4"/>
  <c r="K7" i="6"/>
  <c r="K9" i="6" s="1"/>
  <c r="K16" i="6" s="1"/>
  <c r="K27" i="6" s="1"/>
  <c r="Y19" i="8" l="1"/>
  <c r="Y18" i="8"/>
  <c r="Y17" i="8"/>
  <c r="Y26" i="8" s="1"/>
  <c r="AW19" i="8"/>
  <c r="AW17" i="8"/>
  <c r="AW18" i="8"/>
  <c r="AO20" i="4"/>
  <c r="F20" i="1" s="1"/>
  <c r="E38" i="8"/>
  <c r="X28" i="8"/>
  <c r="U10" i="12" s="1"/>
  <c r="U13" i="12" s="1"/>
  <c r="Q20" i="4"/>
  <c r="Q22" i="4" s="1"/>
  <c r="Q24" i="4" s="1"/>
  <c r="Q25" i="4" s="1"/>
  <c r="M14" i="6"/>
  <c r="S10" i="12"/>
  <c r="S13" i="12" s="1"/>
  <c r="S15" i="12" s="1"/>
  <c r="Q23" i="12"/>
  <c r="M40" i="4"/>
  <c r="M45" i="4" s="1"/>
  <c r="N31" i="4"/>
  <c r="S29" i="11"/>
  <c r="Q33" i="4" s="1"/>
  <c r="Q8" i="6" s="1"/>
  <c r="T27" i="11"/>
  <c r="R30" i="11"/>
  <c r="Q32" i="11"/>
  <c r="O8" i="5" s="1"/>
  <c r="B8" i="2" s="1"/>
  <c r="AP9" i="4"/>
  <c r="F41" i="7"/>
  <c r="F43" i="7" s="1"/>
  <c r="AT32" i="7"/>
  <c r="F9" i="1"/>
  <c r="F12" i="1" s="1"/>
  <c r="F16" i="1" s="1"/>
  <c r="AO12" i="4"/>
  <c r="AO16" i="4" s="1"/>
  <c r="AV32" i="8"/>
  <c r="AS9" i="12"/>
  <c r="AS12" i="12" s="1"/>
  <c r="AU22" i="10"/>
  <c r="AU20" i="10"/>
  <c r="AU18" i="10"/>
  <c r="AU9" i="10"/>
  <c r="AU17" i="10"/>
  <c r="E74" i="9"/>
  <c r="E41" i="8"/>
  <c r="S17" i="12"/>
  <c r="S18" i="12" s="1"/>
  <c r="S21" i="12" s="1"/>
  <c r="W31" i="8"/>
  <c r="B42" i="10"/>
  <c r="B40" i="10"/>
  <c r="P38" i="4"/>
  <c r="S25" i="10"/>
  <c r="S27" i="10" s="1"/>
  <c r="R9" i="4"/>
  <c r="R12" i="4" s="1"/>
  <c r="R16" i="4" s="1"/>
  <c r="S32" i="7"/>
  <c r="T22" i="7"/>
  <c r="T15" i="12"/>
  <c r="T20" i="12"/>
  <c r="T9" i="10"/>
  <c r="T17" i="10"/>
  <c r="T20" i="10"/>
  <c r="X30" i="8"/>
  <c r="T22" i="10"/>
  <c r="T28" i="10" s="1"/>
  <c r="T31" i="10" s="1"/>
  <c r="X32" i="8"/>
  <c r="T18" i="10"/>
  <c r="U9" i="12"/>
  <c r="U12" i="12" s="1"/>
  <c r="O30" i="4"/>
  <c r="O25" i="4"/>
  <c r="J9" i="6"/>
  <c r="J16" i="6" s="1"/>
  <c r="J27" i="6" s="1"/>
  <c r="N14" i="6"/>
  <c r="N17" i="5"/>
  <c r="R23" i="12"/>
  <c r="N40" i="4"/>
  <c r="N36" i="4"/>
  <c r="L46" i="4"/>
  <c r="L7" i="6"/>
  <c r="L9" i="6" s="1"/>
  <c r="L16" i="6" s="1"/>
  <c r="L27" i="6" s="1"/>
  <c r="Z19" i="8" l="1"/>
  <c r="Z18" i="8"/>
  <c r="Z17" i="8"/>
  <c r="Z26" i="8" s="1"/>
  <c r="AW26" i="8"/>
  <c r="R20" i="4"/>
  <c r="Y28" i="8"/>
  <c r="V10" i="12" s="1"/>
  <c r="V13" i="12" s="1"/>
  <c r="M41" i="4"/>
  <c r="S30" i="11"/>
  <c r="R32" i="11"/>
  <c r="P8" i="5" s="1"/>
  <c r="T29" i="11"/>
  <c r="R33" i="4" s="1"/>
  <c r="R8" i="6" s="1"/>
  <c r="U27" i="11"/>
  <c r="AS20" i="12"/>
  <c r="AO9" i="5" s="1"/>
  <c r="E9" i="2" s="1"/>
  <c r="E38" i="10"/>
  <c r="E37" i="10" s="1"/>
  <c r="AU25" i="10"/>
  <c r="AU27" i="10" s="1"/>
  <c r="AO38" i="4"/>
  <c r="F38" i="1" s="1"/>
  <c r="F41" i="8"/>
  <c r="G74" i="9"/>
  <c r="AV22" i="10"/>
  <c r="AV17" i="10"/>
  <c r="AT9" i="12"/>
  <c r="AT12" i="12" s="1"/>
  <c r="AV18" i="10"/>
  <c r="AV20" i="10"/>
  <c r="AV9" i="10"/>
  <c r="AW32" i="8"/>
  <c r="E39" i="10"/>
  <c r="AU28" i="10"/>
  <c r="AU31" i="10" s="1"/>
  <c r="G9" i="1"/>
  <c r="G12" i="1" s="1"/>
  <c r="G16" i="1" s="1"/>
  <c r="AP12" i="4"/>
  <c r="AP16" i="4" s="1"/>
  <c r="X31" i="8"/>
  <c r="Y32" i="8"/>
  <c r="U22" i="10"/>
  <c r="U28" i="10" s="1"/>
  <c r="U31" i="10" s="1"/>
  <c r="U17" i="10"/>
  <c r="U9" i="10"/>
  <c r="U18" i="10"/>
  <c r="U20" i="10"/>
  <c r="Y30" i="8"/>
  <c r="V9" i="12"/>
  <c r="V12" i="12" s="1"/>
  <c r="S9" i="4"/>
  <c r="S12" i="4" s="1"/>
  <c r="S16" i="4" s="1"/>
  <c r="T32" i="7"/>
  <c r="U22" i="7"/>
  <c r="T25" i="10"/>
  <c r="T27" i="10" s="1"/>
  <c r="Q38" i="4"/>
  <c r="U20" i="12"/>
  <c r="U15" i="12"/>
  <c r="P9" i="5"/>
  <c r="P12" i="6"/>
  <c r="P28" i="4"/>
  <c r="P30" i="4" s="1"/>
  <c r="T17" i="12"/>
  <c r="T18" i="12" s="1"/>
  <c r="T21" i="12" s="1"/>
  <c r="P17" i="5" s="1"/>
  <c r="O14" i="6"/>
  <c r="O17" i="5"/>
  <c r="S23" i="12"/>
  <c r="O35" i="4"/>
  <c r="O31" i="4"/>
  <c r="M46" i="4"/>
  <c r="M7" i="6"/>
  <c r="M9" i="6" s="1"/>
  <c r="M16" i="6" s="1"/>
  <c r="M27" i="6" s="1"/>
  <c r="N41" i="4"/>
  <c r="N45" i="4"/>
  <c r="AA19" i="8" l="1"/>
  <c r="AA18" i="8"/>
  <c r="AA17" i="8"/>
  <c r="AA26" i="8" s="1"/>
  <c r="R22" i="4"/>
  <c r="R24" i="4" s="1"/>
  <c r="R25" i="4" s="1"/>
  <c r="AP20" i="4"/>
  <c r="G20" i="1" s="1"/>
  <c r="F38" i="8"/>
  <c r="S20" i="4"/>
  <c r="Z28" i="8"/>
  <c r="W10" i="12" s="1"/>
  <c r="W13" i="12" s="1"/>
  <c r="E40" i="10"/>
  <c r="U29" i="11"/>
  <c r="S33" i="4" s="1"/>
  <c r="S8" i="6" s="1"/>
  <c r="V27" i="11"/>
  <c r="T30" i="11"/>
  <c r="S32" i="11"/>
  <c r="Q8" i="5" s="1"/>
  <c r="E43" i="10"/>
  <c r="AO28" i="4"/>
  <c r="AV28" i="10"/>
  <c r="G39" i="10"/>
  <c r="G38" i="10"/>
  <c r="G37" i="10"/>
  <c r="G40" i="10" s="1"/>
  <c r="AP38" i="4"/>
  <c r="G38" i="1" s="1"/>
  <c r="AV25" i="10"/>
  <c r="AV27" i="10" s="1"/>
  <c r="E42" i="10"/>
  <c r="AT20" i="12"/>
  <c r="Y31" i="8"/>
  <c r="P14" i="6"/>
  <c r="V20" i="12"/>
  <c r="V15" i="12"/>
  <c r="Q9" i="5"/>
  <c r="Q12" i="6"/>
  <c r="Q28" i="4"/>
  <c r="Q30" i="4" s="1"/>
  <c r="U17" i="12"/>
  <c r="U18" i="12" s="1"/>
  <c r="U21" i="12" s="1"/>
  <c r="P31" i="4"/>
  <c r="P35" i="4"/>
  <c r="T23" i="12"/>
  <c r="V22" i="7"/>
  <c r="U25" i="10"/>
  <c r="U27" i="10" s="1"/>
  <c r="R38" i="4"/>
  <c r="V22" i="10"/>
  <c r="V28" i="10" s="1"/>
  <c r="V31" i="10" s="1"/>
  <c r="V17" i="10"/>
  <c r="V20" i="10"/>
  <c r="Z30" i="8"/>
  <c r="V18" i="10"/>
  <c r="Z32" i="8"/>
  <c r="V9" i="10"/>
  <c r="W9" i="12"/>
  <c r="W12" i="12" s="1"/>
  <c r="T9" i="4"/>
  <c r="T12" i="4" s="1"/>
  <c r="T16" i="4" s="1"/>
  <c r="U32" i="7"/>
  <c r="C49" i="7"/>
  <c r="O40" i="4"/>
  <c r="O36" i="4"/>
  <c r="N7" i="6"/>
  <c r="N9" i="6" s="1"/>
  <c r="N16" i="6" s="1"/>
  <c r="N27" i="6" s="1"/>
  <c r="N46" i="4"/>
  <c r="AB19" i="8" l="1"/>
  <c r="AB18" i="8"/>
  <c r="AB17" i="8"/>
  <c r="AB26" i="8" s="1"/>
  <c r="S22" i="4"/>
  <c r="S24" i="4" s="1"/>
  <c r="S25" i="4" s="1"/>
  <c r="T20" i="4"/>
  <c r="AA28" i="8"/>
  <c r="X10" i="12" s="1"/>
  <c r="X13" i="12" s="1"/>
  <c r="U30" i="11"/>
  <c r="T32" i="11"/>
  <c r="R8" i="5" s="1"/>
  <c r="W27" i="11"/>
  <c r="V29" i="11"/>
  <c r="T33" i="4" s="1"/>
  <c r="T8" i="6" s="1"/>
  <c r="AV31" i="10"/>
  <c r="G43" i="10"/>
  <c r="F28" i="1"/>
  <c r="G42" i="10"/>
  <c r="AP28" i="4"/>
  <c r="AP9" i="5"/>
  <c r="F9" i="2" s="1"/>
  <c r="AP12" i="6"/>
  <c r="F12" i="3" s="1"/>
  <c r="X9" i="12"/>
  <c r="X12" i="12" s="1"/>
  <c r="AA32" i="8"/>
  <c r="AA30" i="8"/>
  <c r="AA31" i="8" s="1"/>
  <c r="W22" i="10"/>
  <c r="W28" i="10" s="1"/>
  <c r="W31" i="10" s="1"/>
  <c r="W17" i="10"/>
  <c r="W18" i="10"/>
  <c r="W9" i="10"/>
  <c r="W20" i="10"/>
  <c r="U23" i="12"/>
  <c r="Q14" i="6"/>
  <c r="Q17" i="5"/>
  <c r="W22" i="7"/>
  <c r="W20" i="12"/>
  <c r="W15" i="12"/>
  <c r="V25" i="10"/>
  <c r="V27" i="10" s="1"/>
  <c r="S38" i="4"/>
  <c r="Z31" i="8"/>
  <c r="R9" i="5"/>
  <c r="R12" i="6"/>
  <c r="Q31" i="4"/>
  <c r="Q35" i="4"/>
  <c r="V17" i="12"/>
  <c r="V18" i="12" s="1"/>
  <c r="V21" i="12" s="1"/>
  <c r="R28" i="4"/>
  <c r="R30" i="4" s="1"/>
  <c r="U9" i="4"/>
  <c r="U12" i="4" s="1"/>
  <c r="U16" i="4" s="1"/>
  <c r="V32" i="7"/>
  <c r="P36" i="4"/>
  <c r="P40" i="4"/>
  <c r="O41" i="4"/>
  <c r="AC19" i="8" l="1"/>
  <c r="AC18" i="8"/>
  <c r="AC17" i="8"/>
  <c r="AC26" i="8" s="1"/>
  <c r="T22" i="4"/>
  <c r="T24" i="4" s="1"/>
  <c r="T25" i="4" s="1"/>
  <c r="U20" i="4"/>
  <c r="AB28" i="8"/>
  <c r="Y10" i="12" s="1"/>
  <c r="Y13" i="12" s="1"/>
  <c r="X27" i="11"/>
  <c r="W29" i="11"/>
  <c r="U33" i="4" s="1"/>
  <c r="U8" i="6" s="1"/>
  <c r="U32" i="11"/>
  <c r="S8" i="5" s="1"/>
  <c r="V30" i="11"/>
  <c r="G28" i="1"/>
  <c r="R31" i="4"/>
  <c r="R35" i="4"/>
  <c r="S28" i="4"/>
  <c r="S30" i="4" s="1"/>
  <c r="W17" i="12"/>
  <c r="W18" i="12" s="1"/>
  <c r="W21" i="12" s="1"/>
  <c r="V23" i="12"/>
  <c r="R14" i="6"/>
  <c r="R17" i="5"/>
  <c r="T38" i="4"/>
  <c r="W25" i="10"/>
  <c r="W27" i="10" s="1"/>
  <c r="V9" i="4"/>
  <c r="V12" i="4" s="1"/>
  <c r="V16" i="4" s="1"/>
  <c r="W32" i="7"/>
  <c r="Q36" i="4"/>
  <c r="Q40" i="4"/>
  <c r="X22" i="7"/>
  <c r="AB32" i="8"/>
  <c r="X22" i="10"/>
  <c r="X28" i="10" s="1"/>
  <c r="X31" i="10" s="1"/>
  <c r="X9" i="10"/>
  <c r="X18" i="10"/>
  <c r="X17" i="10"/>
  <c r="X20" i="10"/>
  <c r="AB30" i="8"/>
  <c r="Y9" i="12"/>
  <c r="Y12" i="12" s="1"/>
  <c r="S9" i="5"/>
  <c r="S12" i="6"/>
  <c r="P43" i="4"/>
  <c r="P45" i="4" s="1"/>
  <c r="P41" i="4"/>
  <c r="X15" i="12"/>
  <c r="X20" i="12"/>
  <c r="AD19" i="8" l="1"/>
  <c r="AD18" i="8"/>
  <c r="AD17" i="8"/>
  <c r="AD26" i="8" s="1"/>
  <c r="U22" i="4"/>
  <c r="U24" i="4" s="1"/>
  <c r="U25" i="4" s="1"/>
  <c r="V20" i="4"/>
  <c r="AC28" i="8"/>
  <c r="Z10" i="12" s="1"/>
  <c r="Z13" i="12" s="1"/>
  <c r="V32" i="11"/>
  <c r="T8" i="5" s="1"/>
  <c r="W30" i="11"/>
  <c r="X29" i="11"/>
  <c r="V33" i="4" s="1"/>
  <c r="V8" i="6" s="1"/>
  <c r="Y27" i="11"/>
  <c r="AB31" i="8"/>
  <c r="T12" i="6"/>
  <c r="T9" i="5"/>
  <c r="Y22" i="7"/>
  <c r="Q45" i="4"/>
  <c r="Q41" i="4"/>
  <c r="S14" i="6"/>
  <c r="S17" i="5"/>
  <c r="R36" i="4"/>
  <c r="R40" i="4"/>
  <c r="Y22" i="10"/>
  <c r="Y28" i="10" s="1"/>
  <c r="Y31" i="10" s="1"/>
  <c r="Y9" i="10"/>
  <c r="AC32" i="8"/>
  <c r="Y18" i="10"/>
  <c r="Y17" i="10"/>
  <c r="Z9" i="12"/>
  <c r="Z12" i="12" s="1"/>
  <c r="AC30" i="8"/>
  <c r="Y20" i="10"/>
  <c r="T28" i="4"/>
  <c r="T30" i="4" s="1"/>
  <c r="X17" i="12"/>
  <c r="X18" i="12" s="1"/>
  <c r="X21" i="12" s="1"/>
  <c r="P7" i="6"/>
  <c r="P9" i="6" s="1"/>
  <c r="P16" i="6" s="1"/>
  <c r="P27" i="6" s="1"/>
  <c r="P46" i="4"/>
  <c r="W23" i="12"/>
  <c r="X25" i="10"/>
  <c r="X27" i="10" s="1"/>
  <c r="U38" i="4"/>
  <c r="S31" i="4"/>
  <c r="S35" i="4"/>
  <c r="Y20" i="12"/>
  <c r="Y15" i="12"/>
  <c r="X32" i="7"/>
  <c r="W9" i="4"/>
  <c r="AE19" i="8" l="1"/>
  <c r="AE18" i="8"/>
  <c r="AE17" i="8"/>
  <c r="AE26" i="8" s="1"/>
  <c r="V22" i="4"/>
  <c r="V24" i="4" s="1"/>
  <c r="V25" i="4" s="1"/>
  <c r="W20" i="4"/>
  <c r="AD28" i="8"/>
  <c r="AA10" i="12" s="1"/>
  <c r="AA13" i="12" s="1"/>
  <c r="Z27" i="11"/>
  <c r="Y29" i="11"/>
  <c r="W33" i="4" s="1"/>
  <c r="W8" i="6" s="1"/>
  <c r="W32" i="11"/>
  <c r="U8" i="5" s="1"/>
  <c r="X30" i="11"/>
  <c r="U9" i="5"/>
  <c r="U12" i="6"/>
  <c r="W12" i="4"/>
  <c r="W16" i="4" s="1"/>
  <c r="AA9" i="12"/>
  <c r="AA12" i="12" s="1"/>
  <c r="Z9" i="10"/>
  <c r="AD30" i="8"/>
  <c r="Z20" i="10"/>
  <c r="Z17" i="10"/>
  <c r="AD32" i="8"/>
  <c r="Z18" i="10"/>
  <c r="Z22" i="10"/>
  <c r="Z28" i="10" s="1"/>
  <c r="Q7" i="6"/>
  <c r="Q9" i="6" s="1"/>
  <c r="Q16" i="6" s="1"/>
  <c r="Q27" i="6" s="1"/>
  <c r="Q46" i="4"/>
  <c r="T17" i="5"/>
  <c r="T14" i="6"/>
  <c r="S36" i="4"/>
  <c r="S40" i="4"/>
  <c r="Z22" i="7"/>
  <c r="R45" i="4"/>
  <c r="R41" i="4"/>
  <c r="X23" i="12"/>
  <c r="V38" i="4"/>
  <c r="Y25" i="10"/>
  <c r="Y27" i="10" s="1"/>
  <c r="AC31" i="8"/>
  <c r="X9" i="4"/>
  <c r="X12" i="4" s="1"/>
  <c r="X16" i="4" s="1"/>
  <c r="Y32" i="7"/>
  <c r="T31" i="4"/>
  <c r="T35" i="4"/>
  <c r="U28" i="4"/>
  <c r="U30" i="4" s="1"/>
  <c r="Y17" i="12"/>
  <c r="Y18" i="12" s="1"/>
  <c r="Y21" i="12" s="1"/>
  <c r="Z20" i="12"/>
  <c r="Z15" i="12"/>
  <c r="AF19" i="8" l="1"/>
  <c r="AF18" i="8"/>
  <c r="AF17" i="8"/>
  <c r="AF26" i="8" s="1"/>
  <c r="W22" i="4"/>
  <c r="W24" i="4" s="1"/>
  <c r="W25" i="4" s="1"/>
  <c r="X20" i="4"/>
  <c r="AE28" i="8"/>
  <c r="AB10" i="12" s="1"/>
  <c r="AB13" i="12" s="1"/>
  <c r="X32" i="11"/>
  <c r="V8" i="5" s="1"/>
  <c r="Y30" i="11"/>
  <c r="Z29" i="11"/>
  <c r="X33" i="4" s="1"/>
  <c r="X8" i="6" s="1"/>
  <c r="AA27" i="11"/>
  <c r="AD31" i="8"/>
  <c r="T36" i="4"/>
  <c r="T40" i="4"/>
  <c r="AA22" i="10"/>
  <c r="AA28" i="10" s="1"/>
  <c r="AA31" i="10" s="1"/>
  <c r="AB9" i="12"/>
  <c r="AB12" i="12" s="1"/>
  <c r="AA18" i="10"/>
  <c r="AE30" i="8"/>
  <c r="AA17" i="10"/>
  <c r="AE32" i="8"/>
  <c r="AA20" i="10"/>
  <c r="AA9" i="10"/>
  <c r="AA20" i="12"/>
  <c r="AA15" i="12"/>
  <c r="V12" i="6"/>
  <c r="V9" i="5"/>
  <c r="Z31" i="10"/>
  <c r="Y23" i="12"/>
  <c r="U14" i="6"/>
  <c r="U17" i="5"/>
  <c r="AA22" i="7"/>
  <c r="Z32" i="7"/>
  <c r="Y9" i="4"/>
  <c r="Y12" i="4" s="1"/>
  <c r="Y16" i="4" s="1"/>
  <c r="U31" i="4"/>
  <c r="U35" i="4"/>
  <c r="S45" i="4"/>
  <c r="S41" i="4"/>
  <c r="W38" i="4"/>
  <c r="Z25" i="10"/>
  <c r="Z27" i="10" s="1"/>
  <c r="R46" i="4"/>
  <c r="R7" i="6"/>
  <c r="R9" i="6" s="1"/>
  <c r="R16" i="6" s="1"/>
  <c r="R27" i="6" s="1"/>
  <c r="Z17" i="12"/>
  <c r="Z18" i="12" s="1"/>
  <c r="Z21" i="12" s="1"/>
  <c r="V28" i="4"/>
  <c r="AG19" i="8" l="1"/>
  <c r="AG18" i="8"/>
  <c r="AG17" i="8"/>
  <c r="AG26" i="8" s="1"/>
  <c r="X22" i="4"/>
  <c r="X24" i="4" s="1"/>
  <c r="X25" i="4" s="1"/>
  <c r="Y20" i="4"/>
  <c r="AF28" i="8"/>
  <c r="AC10" i="12" s="1"/>
  <c r="AC13" i="12" s="1"/>
  <c r="AB27" i="11"/>
  <c r="AA29" i="11"/>
  <c r="Y33" i="4" s="1"/>
  <c r="Y8" i="6" s="1"/>
  <c r="Z30" i="11"/>
  <c r="Y32" i="11"/>
  <c r="W8" i="5" s="1"/>
  <c r="V30" i="4"/>
  <c r="W28" i="4"/>
  <c r="W30" i="4" s="1"/>
  <c r="AA17" i="12"/>
  <c r="AA18" i="12" s="1"/>
  <c r="AA21" i="12" s="1"/>
  <c r="AF32" i="8"/>
  <c r="AB22" i="10"/>
  <c r="AB17" i="10"/>
  <c r="AB20" i="10"/>
  <c r="AB9" i="10"/>
  <c r="AC9" i="12"/>
  <c r="AC12" i="12" s="1"/>
  <c r="AB18" i="10"/>
  <c r="AF30" i="8"/>
  <c r="V14" i="6"/>
  <c r="V17" i="5"/>
  <c r="Z9" i="4"/>
  <c r="Z12" i="4" s="1"/>
  <c r="Z16" i="4" s="1"/>
  <c r="AA32" i="7"/>
  <c r="Z23" i="12"/>
  <c r="AE31" i="8"/>
  <c r="W12" i="6"/>
  <c r="W9" i="5"/>
  <c r="U40" i="4"/>
  <c r="U36" i="4"/>
  <c r="AA25" i="10"/>
  <c r="AA27" i="10" s="1"/>
  <c r="X38" i="4"/>
  <c r="T45" i="4"/>
  <c r="T41" i="4"/>
  <c r="AB22" i="7"/>
  <c r="C50" i="7"/>
  <c r="S46" i="4"/>
  <c r="S7" i="6"/>
  <c r="S9" i="6" s="1"/>
  <c r="S16" i="6" s="1"/>
  <c r="S27" i="6" s="1"/>
  <c r="AB20" i="12"/>
  <c r="AB15" i="12"/>
  <c r="D49" i="7"/>
  <c r="AH19" i="8" l="1"/>
  <c r="AH18" i="8"/>
  <c r="AH17" i="8"/>
  <c r="AH26" i="8" s="1"/>
  <c r="Y22" i="4"/>
  <c r="Y24" i="4" s="1"/>
  <c r="Y25" i="4" s="1"/>
  <c r="Z20" i="4"/>
  <c r="AG28" i="8"/>
  <c r="AD10" i="12" s="1"/>
  <c r="AD13" i="12" s="1"/>
  <c r="C38" i="8"/>
  <c r="C39" i="8" s="1"/>
  <c r="AA30" i="11"/>
  <c r="Z32" i="11"/>
  <c r="X8" i="5" s="1"/>
  <c r="AB29" i="11"/>
  <c r="Z33" i="4" s="1"/>
  <c r="Z8" i="6" s="1"/>
  <c r="AC27" i="11"/>
  <c r="AB32" i="7"/>
  <c r="AA9" i="4"/>
  <c r="AC18" i="10"/>
  <c r="AC17" i="10"/>
  <c r="AC22" i="10"/>
  <c r="AC28" i="10" s="1"/>
  <c r="AC31" i="10" s="1"/>
  <c r="AG32" i="8"/>
  <c r="AG30" i="8"/>
  <c r="AC20" i="10"/>
  <c r="AD9" i="12"/>
  <c r="AD12" i="12" s="1"/>
  <c r="AC9" i="10"/>
  <c r="U41" i="4"/>
  <c r="U45" i="4"/>
  <c r="T46" i="4"/>
  <c r="T7" i="6"/>
  <c r="T9" i="6" s="1"/>
  <c r="T16" i="6" s="1"/>
  <c r="T27" i="6" s="1"/>
  <c r="W31" i="4"/>
  <c r="W35" i="4"/>
  <c r="AB28" i="10"/>
  <c r="AF31" i="8"/>
  <c r="X12" i="6"/>
  <c r="X9" i="5"/>
  <c r="AC20" i="12"/>
  <c r="AC15" i="12"/>
  <c r="AC22" i="7"/>
  <c r="AA23" i="12"/>
  <c r="W14" i="6"/>
  <c r="W17" i="5"/>
  <c r="AB17" i="12"/>
  <c r="AB18" i="12" s="1"/>
  <c r="AB21" i="12" s="1"/>
  <c r="X28" i="4"/>
  <c r="X30" i="4" s="1"/>
  <c r="C41" i="7"/>
  <c r="C43" i="7" s="1"/>
  <c r="Y38" i="4"/>
  <c r="AB25" i="10"/>
  <c r="AB27" i="10" s="1"/>
  <c r="V31" i="4"/>
  <c r="V35" i="4"/>
  <c r="AI19" i="8" l="1"/>
  <c r="AI18" i="8"/>
  <c r="AI17" i="8"/>
  <c r="AI26" i="8" s="1"/>
  <c r="Z22" i="4"/>
  <c r="Z24" i="4" s="1"/>
  <c r="Z25" i="4" s="1"/>
  <c r="AA20" i="4"/>
  <c r="AH28" i="8"/>
  <c r="AE10" i="12" s="1"/>
  <c r="AE13" i="12" s="1"/>
  <c r="AD27" i="11"/>
  <c r="AC29" i="11"/>
  <c r="AA33" i="4" s="1"/>
  <c r="AB30" i="11"/>
  <c r="AA32" i="11"/>
  <c r="Y8" i="5" s="1"/>
  <c r="W40" i="4"/>
  <c r="W36" i="4"/>
  <c r="X31" i="4"/>
  <c r="X35" i="4"/>
  <c r="AG31" i="8"/>
  <c r="C41" i="8"/>
  <c r="C42" i="8" s="1"/>
  <c r="C43" i="8" s="1"/>
  <c r="C74" i="9"/>
  <c r="V40" i="4"/>
  <c r="V36" i="4"/>
  <c r="Y28" i="4"/>
  <c r="AC17" i="12"/>
  <c r="AC18" i="12" s="1"/>
  <c r="AC21" i="12" s="1"/>
  <c r="AC32" i="7"/>
  <c r="AB9" i="4"/>
  <c r="AB12" i="4" s="1"/>
  <c r="AB16" i="4" s="1"/>
  <c r="Z38" i="4"/>
  <c r="AC25" i="10"/>
  <c r="AC27" i="10" s="1"/>
  <c r="AA12" i="4"/>
  <c r="AA16" i="4" s="1"/>
  <c r="D9" i="1"/>
  <c r="D12" i="1" s="1"/>
  <c r="D16" i="1" s="1"/>
  <c r="AB23" i="12"/>
  <c r="X17" i="5"/>
  <c r="X14" i="6"/>
  <c r="Y12" i="6"/>
  <c r="Y9" i="5"/>
  <c r="U46" i="4"/>
  <c r="U7" i="6"/>
  <c r="U9" i="6" s="1"/>
  <c r="U16" i="6" s="1"/>
  <c r="U27" i="6" s="1"/>
  <c r="AD22" i="7"/>
  <c r="AB31" i="10"/>
  <c r="AD15" i="12"/>
  <c r="AD20" i="12"/>
  <c r="AH32" i="8"/>
  <c r="AD20" i="10"/>
  <c r="AD17" i="10"/>
  <c r="AD9" i="10"/>
  <c r="AD18" i="10"/>
  <c r="AH30" i="8"/>
  <c r="AE9" i="12"/>
  <c r="AE12" i="12" s="1"/>
  <c r="AD22" i="10"/>
  <c r="AD28" i="10" s="1"/>
  <c r="AD31" i="10" s="1"/>
  <c r="AJ19" i="8" l="1"/>
  <c r="AJ18" i="8"/>
  <c r="AJ17" i="8"/>
  <c r="AJ26" i="8" s="1"/>
  <c r="AA22" i="4"/>
  <c r="AA24" i="4" s="1"/>
  <c r="AA25" i="4" s="1"/>
  <c r="D20" i="1"/>
  <c r="D22" i="1" s="1"/>
  <c r="D24" i="1" s="1"/>
  <c r="D25" i="1" s="1"/>
  <c r="AB20" i="4"/>
  <c r="AB22" i="4" s="1"/>
  <c r="AB24" i="4" s="1"/>
  <c r="AB25" i="4" s="1"/>
  <c r="AI28" i="8"/>
  <c r="AF10" i="12" s="1"/>
  <c r="AF13" i="12" s="1"/>
  <c r="AD29" i="11"/>
  <c r="AB33" i="4" s="1"/>
  <c r="AB8" i="6" s="1"/>
  <c r="AE27" i="11"/>
  <c r="AB32" i="11"/>
  <c r="Z8" i="5" s="1"/>
  <c r="AC30" i="11"/>
  <c r="AA8" i="6"/>
  <c r="C8" i="3" s="1"/>
  <c r="D33" i="1"/>
  <c r="AH31" i="8"/>
  <c r="Z9" i="5"/>
  <c r="Z12" i="6"/>
  <c r="AE20" i="12"/>
  <c r="AE15" i="12"/>
  <c r="C39" i="10"/>
  <c r="C76" i="9"/>
  <c r="C77" i="9" s="1"/>
  <c r="C80" i="9"/>
  <c r="C81" i="9" s="1"/>
  <c r="C43" i="10"/>
  <c r="AC23" i="12"/>
  <c r="Y14" i="6"/>
  <c r="Y17" i="5"/>
  <c r="AE22" i="7"/>
  <c r="Y30" i="4"/>
  <c r="AE22" i="10"/>
  <c r="AE28" i="10" s="1"/>
  <c r="AE31" i="10" s="1"/>
  <c r="AI30" i="8"/>
  <c r="AF9" i="12"/>
  <c r="AF12" i="12" s="1"/>
  <c r="AI32" i="8"/>
  <c r="AE18" i="10"/>
  <c r="AE17" i="10"/>
  <c r="AE9" i="10"/>
  <c r="AE20" i="10"/>
  <c r="C38" i="10"/>
  <c r="C37" i="10" s="1"/>
  <c r="AD25" i="10"/>
  <c r="AD27" i="10" s="1"/>
  <c r="AA38" i="4"/>
  <c r="D38" i="1" s="1"/>
  <c r="AC9" i="4"/>
  <c r="AC12" i="4" s="1"/>
  <c r="AC16" i="4" s="1"/>
  <c r="AD32" i="7"/>
  <c r="X40" i="4"/>
  <c r="X36" i="4"/>
  <c r="Z28" i="4"/>
  <c r="Z30" i="4" s="1"/>
  <c r="AD17" i="12"/>
  <c r="AD18" i="12" s="1"/>
  <c r="AD21" i="12" s="1"/>
  <c r="V41" i="4"/>
  <c r="V45" i="4"/>
  <c r="W41" i="4"/>
  <c r="W45" i="4"/>
  <c r="AK19" i="8" l="1"/>
  <c r="AK18" i="8"/>
  <c r="AK17" i="8"/>
  <c r="AK26" i="8" s="1"/>
  <c r="AC20" i="4"/>
  <c r="AC22" i="4" s="1"/>
  <c r="AC24" i="4" s="1"/>
  <c r="AC25" i="4" s="1"/>
  <c r="AJ28" i="8"/>
  <c r="AG10" i="12" s="1"/>
  <c r="AG13" i="12" s="1"/>
  <c r="AC32" i="11"/>
  <c r="AA8" i="5" s="1"/>
  <c r="C8" i="2" s="1"/>
  <c r="AD30" i="11"/>
  <c r="AF27" i="11"/>
  <c r="AE29" i="11"/>
  <c r="AC33" i="4" s="1"/>
  <c r="AC8" i="6" s="1"/>
  <c r="C42" i="10"/>
  <c r="X41" i="4"/>
  <c r="X45" i="4"/>
  <c r="AB38" i="4"/>
  <c r="AE25" i="10"/>
  <c r="AE27" i="10" s="1"/>
  <c r="Y31" i="4"/>
  <c r="Y35" i="4"/>
  <c r="W46" i="4"/>
  <c r="W7" i="6"/>
  <c r="W9" i="6" s="1"/>
  <c r="W16" i="6" s="1"/>
  <c r="W27" i="6" s="1"/>
  <c r="AF9" i="10"/>
  <c r="AF22" i="10"/>
  <c r="AF28" i="10" s="1"/>
  <c r="AF31" i="10" s="1"/>
  <c r="AJ30" i="8"/>
  <c r="AJ32" i="8"/>
  <c r="AF17" i="10"/>
  <c r="AG9" i="12"/>
  <c r="AG12" i="12" s="1"/>
  <c r="AF18" i="10"/>
  <c r="AF20" i="10"/>
  <c r="AD9" i="4"/>
  <c r="AD12" i="4" s="1"/>
  <c r="AD16" i="4" s="1"/>
  <c r="AE32" i="7"/>
  <c r="C40" i="10"/>
  <c r="AF20" i="12"/>
  <c r="AF15" i="12"/>
  <c r="AA9" i="5"/>
  <c r="C9" i="2" s="1"/>
  <c r="AA12" i="6"/>
  <c r="C12" i="3" s="1"/>
  <c r="AF22" i="7"/>
  <c r="V46" i="4"/>
  <c r="V7" i="6"/>
  <c r="V9" i="6" s="1"/>
  <c r="V16" i="6" s="1"/>
  <c r="V27" i="6" s="1"/>
  <c r="AD23" i="12"/>
  <c r="Z17" i="5"/>
  <c r="Z14" i="6"/>
  <c r="AA28" i="4"/>
  <c r="AE17" i="12"/>
  <c r="AE18" i="12" s="1"/>
  <c r="AE21" i="12" s="1"/>
  <c r="AE23" i="12" s="1"/>
  <c r="AI31" i="8"/>
  <c r="Z31" i="4"/>
  <c r="Z35" i="4"/>
  <c r="AL19" i="8" l="1"/>
  <c r="AL18" i="8"/>
  <c r="AL17" i="8"/>
  <c r="AL26" i="8" s="1"/>
  <c r="AK28" i="8"/>
  <c r="AH10" i="12" s="1"/>
  <c r="AH13" i="12" s="1"/>
  <c r="AD20" i="4"/>
  <c r="AD22" i="4" s="1"/>
  <c r="AD24" i="4" s="1"/>
  <c r="AD25" i="4" s="1"/>
  <c r="AG27" i="11"/>
  <c r="AF29" i="11"/>
  <c r="AD33" i="4" s="1"/>
  <c r="AD8" i="6" s="1"/>
  <c r="AE30" i="11"/>
  <c r="AD32" i="11"/>
  <c r="AB8" i="5" s="1"/>
  <c r="AA30" i="4"/>
  <c r="D28" i="1"/>
  <c r="D30" i="1" s="1"/>
  <c r="AG20" i="12"/>
  <c r="AG15" i="12"/>
  <c r="AJ31" i="8"/>
  <c r="Y36" i="4"/>
  <c r="Y40" i="4"/>
  <c r="Z36" i="4"/>
  <c r="Z40" i="4"/>
  <c r="AB12" i="6"/>
  <c r="AB9" i="5"/>
  <c r="AG18" i="10"/>
  <c r="AG9" i="10"/>
  <c r="AG20" i="10"/>
  <c r="AK32" i="8"/>
  <c r="AG22" i="10"/>
  <c r="AG28" i="10" s="1"/>
  <c r="AG31" i="10" s="1"/>
  <c r="AH9" i="12"/>
  <c r="AH12" i="12" s="1"/>
  <c r="AG17" i="10"/>
  <c r="AK30" i="8"/>
  <c r="X7" i="6"/>
  <c r="X9" i="6" s="1"/>
  <c r="X16" i="6" s="1"/>
  <c r="X27" i="6" s="1"/>
  <c r="X46" i="4"/>
  <c r="AB28" i="4"/>
  <c r="AB30" i="4" s="1"/>
  <c r="AF17" i="12"/>
  <c r="AF18" i="12" s="1"/>
  <c r="AF21" i="12" s="1"/>
  <c r="AF32" i="7"/>
  <c r="AE9" i="4"/>
  <c r="AE12" i="4" s="1"/>
  <c r="AE16" i="4" s="1"/>
  <c r="AA17" i="5"/>
  <c r="C17" i="2" s="1"/>
  <c r="AA14" i="6"/>
  <c r="C14" i="3" s="1"/>
  <c r="AG22" i="7"/>
  <c r="AF25" i="10"/>
  <c r="AF27" i="10" s="1"/>
  <c r="AC38" i="4"/>
  <c r="AM19" i="8" l="1"/>
  <c r="AM18" i="8"/>
  <c r="AM17" i="8"/>
  <c r="AM26" i="8" s="1"/>
  <c r="AE20" i="4"/>
  <c r="AE22" i="4" s="1"/>
  <c r="AE24" i="4" s="1"/>
  <c r="AE25" i="4" s="1"/>
  <c r="AL28" i="8"/>
  <c r="AI10" i="12" s="1"/>
  <c r="AI13" i="12" s="1"/>
  <c r="AF30" i="11"/>
  <c r="AE32" i="11"/>
  <c r="AC8" i="5" s="1"/>
  <c r="AG29" i="11"/>
  <c r="AE33" i="4" s="1"/>
  <c r="AE8" i="6" s="1"/>
  <c r="AH27" i="11"/>
  <c r="AB17" i="5"/>
  <c r="AB14" i="6"/>
  <c r="AC28" i="4"/>
  <c r="AC30" i="4" s="1"/>
  <c r="AG17" i="12"/>
  <c r="AG18" i="12" s="1"/>
  <c r="AG21" i="12" s="1"/>
  <c r="AB31" i="4"/>
  <c r="AB35" i="4"/>
  <c r="Y45" i="4"/>
  <c r="Y41" i="4"/>
  <c r="AG32" i="7"/>
  <c r="AF9" i="4"/>
  <c r="AF12" i="4" s="1"/>
  <c r="AF16" i="4" s="1"/>
  <c r="AK31" i="8"/>
  <c r="AC12" i="6"/>
  <c r="AC9" i="5"/>
  <c r="AH22" i="7"/>
  <c r="AF23" i="12"/>
  <c r="AH20" i="12"/>
  <c r="AH15" i="12"/>
  <c r="D31" i="1"/>
  <c r="D35" i="1"/>
  <c r="AD38" i="4"/>
  <c r="AG25" i="10"/>
  <c r="AG27" i="10" s="1"/>
  <c r="AI9" i="12"/>
  <c r="AI12" i="12" s="1"/>
  <c r="AL30" i="8"/>
  <c r="AH20" i="10"/>
  <c r="AL32" i="8"/>
  <c r="AH9" i="10"/>
  <c r="AH18" i="10"/>
  <c r="AH17" i="10"/>
  <c r="AH22" i="10"/>
  <c r="AH28" i="10" s="1"/>
  <c r="AH31" i="10" s="1"/>
  <c r="Z45" i="4"/>
  <c r="Z41" i="4"/>
  <c r="AA31" i="4"/>
  <c r="AA35" i="4"/>
  <c r="AN19" i="8" l="1"/>
  <c r="AN18" i="8"/>
  <c r="AN17" i="8"/>
  <c r="AN26" i="8" s="1"/>
  <c r="AM28" i="8"/>
  <c r="AJ10" i="12" s="1"/>
  <c r="AJ13" i="12" s="1"/>
  <c r="AF20" i="4"/>
  <c r="AF22" i="4" s="1"/>
  <c r="AF24" i="4" s="1"/>
  <c r="AF25" i="4" s="1"/>
  <c r="AH29" i="11"/>
  <c r="AF33" i="4" s="1"/>
  <c r="AF8" i="6" s="1"/>
  <c r="AI27" i="11"/>
  <c r="AG30" i="11"/>
  <c r="AF32" i="11"/>
  <c r="AD8" i="5" s="1"/>
  <c r="AD28" i="4"/>
  <c r="AD30" i="4" s="1"/>
  <c r="AH17" i="12"/>
  <c r="AH18" i="12" s="1"/>
  <c r="AH21" i="12" s="1"/>
  <c r="AH23" i="12" s="1"/>
  <c r="AI22" i="7"/>
  <c r="Y7" i="6"/>
  <c r="Y46" i="4"/>
  <c r="AC31" i="4"/>
  <c r="AC35" i="4"/>
  <c r="AH32" i="7"/>
  <c r="AG9" i="4"/>
  <c r="AG12" i="4" s="1"/>
  <c r="AG16" i="4" s="1"/>
  <c r="D40" i="1"/>
  <c r="D36" i="1"/>
  <c r="AG23" i="12"/>
  <c r="AC14" i="6"/>
  <c r="AC17" i="5"/>
  <c r="AL31" i="8"/>
  <c r="AD9" i="5"/>
  <c r="AD12" i="6"/>
  <c r="AM32" i="8"/>
  <c r="AI18" i="10"/>
  <c r="AI22" i="10"/>
  <c r="AI28" i="10" s="1"/>
  <c r="AI31" i="10" s="1"/>
  <c r="AJ9" i="12"/>
  <c r="AJ12" i="12" s="1"/>
  <c r="AI9" i="10"/>
  <c r="AI17" i="10"/>
  <c r="AM30" i="8"/>
  <c r="AI20" i="10"/>
  <c r="AB40" i="4"/>
  <c r="AB36" i="4"/>
  <c r="AE38" i="4"/>
  <c r="AH25" i="10"/>
  <c r="AH27" i="10" s="1"/>
  <c r="AA40" i="4"/>
  <c r="AA36" i="4"/>
  <c r="Z46" i="4"/>
  <c r="Z7" i="6"/>
  <c r="Z9" i="6" s="1"/>
  <c r="Z16" i="6" s="1"/>
  <c r="Z27" i="6" s="1"/>
  <c r="AI15" i="12"/>
  <c r="AI20" i="12"/>
  <c r="AO19" i="8" l="1"/>
  <c r="AO18" i="8"/>
  <c r="AO17" i="8"/>
  <c r="AO26" i="8" s="1"/>
  <c r="AG20" i="4"/>
  <c r="AG22" i="4" s="1"/>
  <c r="AG24" i="4" s="1"/>
  <c r="AG25" i="4" s="1"/>
  <c r="AN28" i="8"/>
  <c r="AK10" i="12" s="1"/>
  <c r="AK13" i="12" s="1"/>
  <c r="AH30" i="11"/>
  <c r="AG32" i="11"/>
  <c r="AE8" i="5" s="1"/>
  <c r="AI29" i="11"/>
  <c r="AG33" i="4" s="1"/>
  <c r="AG8" i="6" s="1"/>
  <c r="AJ27" i="11"/>
  <c r="AC36" i="4"/>
  <c r="AC40" i="4"/>
  <c r="AI17" i="12"/>
  <c r="AI18" i="12" s="1"/>
  <c r="AI21" i="12" s="1"/>
  <c r="AI23" i="12" s="1"/>
  <c r="AE28" i="4"/>
  <c r="AE30" i="4" s="1"/>
  <c r="AJ15" i="12"/>
  <c r="AJ20" i="12"/>
  <c r="AA41" i="4"/>
  <c r="AA43" i="4"/>
  <c r="AA45" i="4" s="1"/>
  <c r="Y9" i="6"/>
  <c r="Y16" i="6" s="1"/>
  <c r="Y27" i="6" s="1"/>
  <c r="D43" i="1"/>
  <c r="D45" i="1" s="1"/>
  <c r="D46" i="1" s="1"/>
  <c r="D41" i="1"/>
  <c r="AJ22" i="7"/>
  <c r="AF38" i="4"/>
  <c r="AI25" i="10"/>
  <c r="AI27" i="10" s="1"/>
  <c r="AE12" i="6"/>
  <c r="AE9" i="5"/>
  <c r="AB45" i="4"/>
  <c r="AB41" i="4"/>
  <c r="AI32" i="7"/>
  <c r="AH9" i="4"/>
  <c r="AM31" i="8"/>
  <c r="AD17" i="5"/>
  <c r="AD14" i="6"/>
  <c r="AJ9" i="10"/>
  <c r="AN30" i="8"/>
  <c r="AN32" i="8"/>
  <c r="AJ20" i="10"/>
  <c r="AJ18" i="10"/>
  <c r="AJ22" i="10"/>
  <c r="AJ28" i="10" s="1"/>
  <c r="AJ31" i="10" s="1"/>
  <c r="AK9" i="12"/>
  <c r="AK12" i="12" s="1"/>
  <c r="AJ17" i="10"/>
  <c r="AD31" i="4"/>
  <c r="AD35" i="4"/>
  <c r="AP19" i="8" l="1"/>
  <c r="AP18" i="8"/>
  <c r="AP17" i="8"/>
  <c r="AP26" i="8" s="1"/>
  <c r="AH20" i="4"/>
  <c r="AH22" i="4" s="1"/>
  <c r="AO28" i="8"/>
  <c r="AL10" i="12" s="1"/>
  <c r="AL13" i="12" s="1"/>
  <c r="AK27" i="11"/>
  <c r="AJ29" i="11"/>
  <c r="AH33" i="4" s="1"/>
  <c r="AH8" i="6" s="1"/>
  <c r="AI30" i="11"/>
  <c r="AH32" i="11"/>
  <c r="AF8" i="5" s="1"/>
  <c r="AH12" i="4"/>
  <c r="AH16" i="4" s="1"/>
  <c r="AH24" i="4" s="1"/>
  <c r="AH25" i="4" s="1"/>
  <c r="AF9" i="5"/>
  <c r="AF12" i="6"/>
  <c r="AD40" i="4"/>
  <c r="AD36" i="4"/>
  <c r="AN31" i="8"/>
  <c r="AB46" i="4"/>
  <c r="AB7" i="6"/>
  <c r="AB9" i="6" s="1"/>
  <c r="AB16" i="6" s="1"/>
  <c r="AB27" i="6" s="1"/>
  <c r="AK22" i="7"/>
  <c r="AE31" i="4"/>
  <c r="AE35" i="4"/>
  <c r="AA46" i="4"/>
  <c r="AA7" i="6"/>
  <c r="AE17" i="5"/>
  <c r="AE14" i="6"/>
  <c r="AK20" i="10"/>
  <c r="AK17" i="10"/>
  <c r="AO30" i="8"/>
  <c r="AL9" i="12"/>
  <c r="AL12" i="12" s="1"/>
  <c r="AK18" i="10"/>
  <c r="AO32" i="8"/>
  <c r="AK22" i="10"/>
  <c r="AK28" i="10" s="1"/>
  <c r="AK31" i="10" s="1"/>
  <c r="AK9" i="10"/>
  <c r="AJ32" i="7"/>
  <c r="AI9" i="4"/>
  <c r="AI12" i="4" s="1"/>
  <c r="AI16" i="4" s="1"/>
  <c r="AG38" i="4"/>
  <c r="AJ25" i="10"/>
  <c r="AJ27" i="10" s="1"/>
  <c r="AK20" i="12"/>
  <c r="AK15" i="12"/>
  <c r="AC41" i="4"/>
  <c r="AC45" i="4"/>
  <c r="AF28" i="4"/>
  <c r="AF30" i="4" s="1"/>
  <c r="AJ17" i="12"/>
  <c r="AJ18" i="12" s="1"/>
  <c r="AJ21" i="12" s="1"/>
  <c r="AJ23" i="12" s="1"/>
  <c r="AQ19" i="8" l="1"/>
  <c r="AQ18" i="8"/>
  <c r="AQ17" i="8"/>
  <c r="AQ26" i="8" s="1"/>
  <c r="AI20" i="4"/>
  <c r="AI22" i="4" s="1"/>
  <c r="AI24" i="4" s="1"/>
  <c r="AI25" i="4" s="1"/>
  <c r="AP28" i="8"/>
  <c r="AM10" i="12" s="1"/>
  <c r="AM13" i="12" s="1"/>
  <c r="AI32" i="11"/>
  <c r="AG8" i="5" s="1"/>
  <c r="AJ30" i="11"/>
  <c r="AL27" i="11"/>
  <c r="AK29" i="11"/>
  <c r="AI33" i="4" s="1"/>
  <c r="AI8" i="6" s="1"/>
  <c r="AA9" i="6"/>
  <c r="AA16" i="6" s="1"/>
  <c r="AA27" i="6" s="1"/>
  <c r="C27" i="3" s="1"/>
  <c r="C7" i="3"/>
  <c r="C9" i="3" s="1"/>
  <c r="C16" i="3" s="1"/>
  <c r="AG12" i="6"/>
  <c r="AG9" i="5"/>
  <c r="AK17" i="12"/>
  <c r="AK18" i="12" s="1"/>
  <c r="AK21" i="12" s="1"/>
  <c r="AK23" i="12" s="1"/>
  <c r="AG28" i="4"/>
  <c r="AG30" i="4" s="1"/>
  <c r="AL15" i="12"/>
  <c r="AL20" i="12"/>
  <c r="AE40" i="4"/>
  <c r="AE36" i="4"/>
  <c r="AD41" i="4"/>
  <c r="AD45" i="4"/>
  <c r="AO31" i="8"/>
  <c r="AF31" i="4"/>
  <c r="AF35" i="4"/>
  <c r="AL17" i="10"/>
  <c r="AL9" i="10"/>
  <c r="AL20" i="10"/>
  <c r="AP30" i="8"/>
  <c r="AM9" i="12"/>
  <c r="AM12" i="12" s="1"/>
  <c r="AL18" i="10"/>
  <c r="AL22" i="10"/>
  <c r="AP32" i="8"/>
  <c r="AL22" i="7"/>
  <c r="AC46" i="4"/>
  <c r="AC7" i="6"/>
  <c r="AC9" i="6" s="1"/>
  <c r="AC16" i="6" s="1"/>
  <c r="AC27" i="6" s="1"/>
  <c r="AH38" i="4"/>
  <c r="AK25" i="10"/>
  <c r="AK27" i="10" s="1"/>
  <c r="AF14" i="6"/>
  <c r="AF17" i="5"/>
  <c r="AJ9" i="4"/>
  <c r="AJ12" i="4" s="1"/>
  <c r="AJ16" i="4" s="1"/>
  <c r="AK32" i="7"/>
  <c r="AR19" i="8" l="1"/>
  <c r="AR18" i="8"/>
  <c r="AR17" i="8"/>
  <c r="AR26" i="8" s="1"/>
  <c r="AJ20" i="4"/>
  <c r="AJ22" i="4" s="1"/>
  <c r="AJ24" i="4" s="1"/>
  <c r="AQ28" i="8"/>
  <c r="AN10" i="12" s="1"/>
  <c r="AN13" i="12" s="1"/>
  <c r="AM27" i="11"/>
  <c r="AL29" i="11"/>
  <c r="AJ33" i="4" s="1"/>
  <c r="AJ8" i="6" s="1"/>
  <c r="AJ32" i="11"/>
  <c r="AH8" i="5" s="1"/>
  <c r="AK30" i="11"/>
  <c r="AG31" i="4"/>
  <c r="AG35" i="4"/>
  <c r="AG14" i="6"/>
  <c r="AG17" i="5"/>
  <c r="AH28" i="4"/>
  <c r="AH30" i="4" s="1"/>
  <c r="AL17" i="12"/>
  <c r="AL18" i="12" s="1"/>
  <c r="AL21" i="12" s="1"/>
  <c r="AL23" i="12" s="1"/>
  <c r="AM20" i="12"/>
  <c r="AM15" i="12"/>
  <c r="AP31" i="8"/>
  <c r="AJ25" i="4"/>
  <c r="AF36" i="4"/>
  <c r="AF40" i="4"/>
  <c r="AL28" i="10"/>
  <c r="AL32" i="7"/>
  <c r="AK9" i="4"/>
  <c r="AL25" i="10"/>
  <c r="AL27" i="10" s="1"/>
  <c r="AI38" i="4"/>
  <c r="AE45" i="4"/>
  <c r="AE41" i="4"/>
  <c r="AD7" i="6"/>
  <c r="AD9" i="6" s="1"/>
  <c r="AD16" i="6" s="1"/>
  <c r="AD27" i="6" s="1"/>
  <c r="AD46" i="4"/>
  <c r="AM20" i="10"/>
  <c r="AM18" i="10"/>
  <c r="AM17" i="10"/>
  <c r="AM22" i="10"/>
  <c r="AM28" i="10" s="1"/>
  <c r="AM31" i="10" s="1"/>
  <c r="AQ32" i="8"/>
  <c r="AM9" i="10"/>
  <c r="AN9" i="12"/>
  <c r="AN12" i="12" s="1"/>
  <c r="AQ30" i="8"/>
  <c r="AM22" i="7"/>
  <c r="AH12" i="6"/>
  <c r="AH9" i="5"/>
  <c r="AS19" i="8" l="1"/>
  <c r="AS18" i="8"/>
  <c r="AS17" i="8"/>
  <c r="AS26" i="8" s="1"/>
  <c r="AK20" i="4"/>
  <c r="AK22" i="4" s="1"/>
  <c r="AR28" i="8"/>
  <c r="AO10" i="12" s="1"/>
  <c r="AO13" i="12" s="1"/>
  <c r="AL30" i="11"/>
  <c r="AK32" i="11"/>
  <c r="AI8" i="5" s="1"/>
  <c r="AM29" i="11"/>
  <c r="AK33" i="4" s="1"/>
  <c r="AK8" i="6" s="1"/>
  <c r="AN27" i="11"/>
  <c r="AO27" i="11" s="1"/>
  <c r="AQ31" i="8"/>
  <c r="AI9" i="5"/>
  <c r="AI12" i="6"/>
  <c r="AN15" i="12"/>
  <c r="AN20" i="12"/>
  <c r="AL31" i="10"/>
  <c r="AH17" i="5"/>
  <c r="AH14" i="6"/>
  <c r="AN22" i="7"/>
  <c r="D50" i="7"/>
  <c r="AJ38" i="4"/>
  <c r="AM25" i="10"/>
  <c r="AM27" i="10" s="1"/>
  <c r="AF45" i="4"/>
  <c r="AF41" i="4"/>
  <c r="AI28" i="4"/>
  <c r="AI30" i="4" s="1"/>
  <c r="AM17" i="12"/>
  <c r="AM18" i="12" s="1"/>
  <c r="AM21" i="12" s="1"/>
  <c r="AG36" i="4"/>
  <c r="AG40" i="4"/>
  <c r="AR30" i="8"/>
  <c r="AN20" i="10"/>
  <c r="AN18" i="10"/>
  <c r="AN17" i="10"/>
  <c r="AN9" i="10"/>
  <c r="AN22" i="10"/>
  <c r="AR32" i="8"/>
  <c r="AO9" i="12"/>
  <c r="AO12" i="12" s="1"/>
  <c r="AH31" i="4"/>
  <c r="AH35" i="4"/>
  <c r="AE46" i="4"/>
  <c r="AE7" i="6"/>
  <c r="AE9" i="6" s="1"/>
  <c r="AE16" i="6" s="1"/>
  <c r="AE27" i="6" s="1"/>
  <c r="AL9" i="4"/>
  <c r="AL12" i="4" s="1"/>
  <c r="AL16" i="4" s="1"/>
  <c r="AM32" i="7"/>
  <c r="AK12" i="4"/>
  <c r="AK16" i="4" s="1"/>
  <c r="AK24" i="4" s="1"/>
  <c r="AK25" i="4" s="1"/>
  <c r="AT19" i="8" l="1"/>
  <c r="AT18" i="8"/>
  <c r="AT17" i="8"/>
  <c r="AT26" i="8" s="1"/>
  <c r="AQ25" i="11"/>
  <c r="AO29" i="11"/>
  <c r="AQ27" i="11"/>
  <c r="AL20" i="4"/>
  <c r="AL22" i="4" s="1"/>
  <c r="AL24" i="4" s="1"/>
  <c r="AS28" i="8"/>
  <c r="AP10" i="12" s="1"/>
  <c r="AP13" i="12" s="1"/>
  <c r="D38" i="8"/>
  <c r="D39" i="8" s="1"/>
  <c r="AM33" i="4"/>
  <c r="AN29" i="11"/>
  <c r="AL33" i="4" s="1"/>
  <c r="AL8" i="6" s="1"/>
  <c r="AL32" i="11"/>
  <c r="AJ8" i="5" s="1"/>
  <c r="AM30" i="11"/>
  <c r="AR31" i="8"/>
  <c r="AF7" i="6"/>
  <c r="AF9" i="6" s="1"/>
  <c r="AF16" i="6" s="1"/>
  <c r="AF27" i="6" s="1"/>
  <c r="AF46" i="4"/>
  <c r="AH36" i="4"/>
  <c r="AH40" i="4"/>
  <c r="AN17" i="12"/>
  <c r="AN18" i="12" s="1"/>
  <c r="AN21" i="12" s="1"/>
  <c r="AN23" i="12" s="1"/>
  <c r="AJ28" i="4"/>
  <c r="AJ12" i="6"/>
  <c r="AJ9" i="5"/>
  <c r="D41" i="7"/>
  <c r="D43" i="7" s="1"/>
  <c r="AM9" i="4"/>
  <c r="AN32" i="7"/>
  <c r="AG45" i="4"/>
  <c r="AG41" i="4"/>
  <c r="AO17" i="10"/>
  <c r="AO18" i="10"/>
  <c r="AP9" i="12"/>
  <c r="AP12" i="12" s="1"/>
  <c r="AS32" i="8"/>
  <c r="AO22" i="10"/>
  <c r="AO28" i="10" s="1"/>
  <c r="AO31" i="10" s="1"/>
  <c r="AS30" i="8"/>
  <c r="AO20" i="10"/>
  <c r="AO9" i="10"/>
  <c r="AN28" i="10"/>
  <c r="AM23" i="12"/>
  <c r="AI14" i="6"/>
  <c r="AI17" i="5"/>
  <c r="AO20" i="12"/>
  <c r="AO15" i="12"/>
  <c r="AL25" i="4"/>
  <c r="AN25" i="10"/>
  <c r="AN27" i="10" s="1"/>
  <c r="AK38" i="4"/>
  <c r="AI31" i="4"/>
  <c r="AI35" i="4"/>
  <c r="AM8" i="6"/>
  <c r="D8" i="3" s="1"/>
  <c r="E33" i="1"/>
  <c r="AR27" i="11" l="1"/>
  <c r="AR29" i="11" s="1"/>
  <c r="AP33" i="4" s="1"/>
  <c r="AQ29" i="11"/>
  <c r="AT28" i="8"/>
  <c r="AQ10" i="12" s="1"/>
  <c r="AQ13" i="12" s="1"/>
  <c r="AM20" i="4"/>
  <c r="AM32" i="11"/>
  <c r="AK8" i="5" s="1"/>
  <c r="AN30" i="11"/>
  <c r="AS31" i="8"/>
  <c r="AO17" i="12"/>
  <c r="AO18" i="12" s="1"/>
  <c r="AO21" i="12" s="1"/>
  <c r="AO23" i="12" s="1"/>
  <c r="AK28" i="4"/>
  <c r="AK30" i="4" s="1"/>
  <c r="AN31" i="10"/>
  <c r="AO25" i="10"/>
  <c r="AO27" i="10" s="1"/>
  <c r="AL38" i="4"/>
  <c r="AK9" i="5"/>
  <c r="AK12" i="6"/>
  <c r="AP18" i="10"/>
  <c r="AP22" i="10"/>
  <c r="AQ9" i="12"/>
  <c r="AQ12" i="12" s="1"/>
  <c r="AT30" i="8"/>
  <c r="AP9" i="10"/>
  <c r="AP17" i="10"/>
  <c r="AT32" i="8"/>
  <c r="AP20" i="10"/>
  <c r="AH41" i="4"/>
  <c r="AH45" i="4"/>
  <c r="AJ30" i="4"/>
  <c r="AG7" i="6"/>
  <c r="AG9" i="6" s="1"/>
  <c r="AG16" i="6" s="1"/>
  <c r="AG27" i="6" s="1"/>
  <c r="AG46" i="4"/>
  <c r="AI40" i="4"/>
  <c r="AI36" i="4"/>
  <c r="AM12" i="4"/>
  <c r="AM16" i="4" s="1"/>
  <c r="E9" i="1"/>
  <c r="E12" i="1" s="1"/>
  <c r="E16" i="1" s="1"/>
  <c r="AJ17" i="5"/>
  <c r="AJ14" i="6"/>
  <c r="D74" i="9"/>
  <c r="D41" i="8"/>
  <c r="D42" i="8" s="1"/>
  <c r="D43" i="8" s="1"/>
  <c r="AP20" i="12"/>
  <c r="AP15" i="12"/>
  <c r="E20" i="1" l="1"/>
  <c r="E22" i="1" s="1"/>
  <c r="E24" i="1" s="1"/>
  <c r="E25" i="1" s="1"/>
  <c r="AM22" i="4"/>
  <c r="AM24" i="4" s="1"/>
  <c r="AM25" i="4" s="1"/>
  <c r="AO33" i="4"/>
  <c r="AQ30" i="11"/>
  <c r="AP8" i="6"/>
  <c r="F8" i="3" s="1"/>
  <c r="G33" i="1"/>
  <c r="AN32" i="11"/>
  <c r="AL8" i="5" s="1"/>
  <c r="AO30" i="11"/>
  <c r="AO32" i="11" s="1"/>
  <c r="AO22" i="6" s="1"/>
  <c r="D80" i="9"/>
  <c r="D81" i="9" s="1"/>
  <c r="D76" i="9"/>
  <c r="D77" i="9" s="1"/>
  <c r="AJ31" i="4"/>
  <c r="AJ35" i="4"/>
  <c r="AT31" i="8"/>
  <c r="AL28" i="4"/>
  <c r="AP17" i="12"/>
  <c r="AP18" i="12" s="1"/>
  <c r="AP21" i="12" s="1"/>
  <c r="AH46" i="4"/>
  <c r="AH7" i="6"/>
  <c r="AH9" i="6" s="1"/>
  <c r="AH16" i="6" s="1"/>
  <c r="AH27" i="6" s="1"/>
  <c r="AP28" i="10"/>
  <c r="D39" i="10"/>
  <c r="D38" i="10"/>
  <c r="D37" i="10" s="1"/>
  <c r="AP25" i="10"/>
  <c r="AP27" i="10" s="1"/>
  <c r="AM38" i="4"/>
  <c r="E38" i="1" s="1"/>
  <c r="AQ15" i="12"/>
  <c r="AQ20" i="12"/>
  <c r="AK31" i="4"/>
  <c r="AK35" i="4"/>
  <c r="AL9" i="5"/>
  <c r="AL12" i="6"/>
  <c r="AI41" i="4"/>
  <c r="AI45" i="4"/>
  <c r="AK17" i="5"/>
  <c r="AK14" i="6"/>
  <c r="AR30" i="11" l="1"/>
  <c r="AR32" i="11" s="1"/>
  <c r="AP8" i="5" s="1"/>
  <c r="F8" i="2" s="1"/>
  <c r="AQ32" i="11"/>
  <c r="AO8" i="5" s="1"/>
  <c r="E8" i="2" s="1"/>
  <c r="AO8" i="6"/>
  <c r="E8" i="3" s="1"/>
  <c r="F33" i="1"/>
  <c r="E22" i="3"/>
  <c r="AM8" i="5"/>
  <c r="D8" i="2" s="1"/>
  <c r="D40" i="10"/>
  <c r="AP23" i="12"/>
  <c r="AL14" i="6"/>
  <c r="AL17" i="5"/>
  <c r="AI46" i="4"/>
  <c r="AI7" i="6"/>
  <c r="AI9" i="6" s="1"/>
  <c r="AI16" i="6" s="1"/>
  <c r="AI27" i="6" s="1"/>
  <c r="AL30" i="4"/>
  <c r="AK40" i="4"/>
  <c r="AK36" i="4"/>
  <c r="AP31" i="10"/>
  <c r="G32" i="10" s="1"/>
  <c r="D43" i="10"/>
  <c r="AM28" i="4"/>
  <c r="AM30" i="4" s="1"/>
  <c r="AQ17" i="12"/>
  <c r="AQ18" i="12" s="1"/>
  <c r="AQ21" i="12" s="1"/>
  <c r="AJ36" i="4"/>
  <c r="AJ40" i="4"/>
  <c r="D42" i="10"/>
  <c r="AM12" i="6"/>
  <c r="D12" i="3" s="1"/>
  <c r="AM9" i="5"/>
  <c r="D9" i="2" s="1"/>
  <c r="AO12" i="6"/>
  <c r="AL31" i="4" l="1"/>
  <c r="AL35" i="4"/>
  <c r="AK41" i="4"/>
  <c r="AK45" i="4"/>
  <c r="AJ41" i="4"/>
  <c r="AJ45" i="4"/>
  <c r="E28" i="1"/>
  <c r="E30" i="1" s="1"/>
  <c r="E12" i="3"/>
  <c r="AQ23" i="12"/>
  <c r="AM14" i="6"/>
  <c r="D14" i="3" s="1"/>
  <c r="AM17" i="5"/>
  <c r="D17" i="2" s="1"/>
  <c r="AM31" i="4"/>
  <c r="AM35" i="4"/>
  <c r="AM36" i="4" l="1"/>
  <c r="AM40" i="4"/>
  <c r="AM41" i="4" s="1"/>
  <c r="E31" i="1"/>
  <c r="E35" i="1"/>
  <c r="AJ46" i="4"/>
  <c r="AJ7" i="6"/>
  <c r="AK7" i="6"/>
  <c r="AK9" i="6" s="1"/>
  <c r="AK16" i="6" s="1"/>
  <c r="AK27" i="6" s="1"/>
  <c r="AK46" i="4"/>
  <c r="AL36" i="4"/>
  <c r="AL40" i="4"/>
  <c r="AJ9" i="6" l="1"/>
  <c r="AJ16" i="6" s="1"/>
  <c r="AJ27" i="6" s="1"/>
  <c r="AL41" i="4"/>
  <c r="AL45" i="4"/>
  <c r="AM43" i="4"/>
  <c r="AM45" i="4" s="1"/>
  <c r="E36" i="1"/>
  <c r="E40" i="1"/>
  <c r="E43" i="1" l="1"/>
  <c r="E45" i="1" s="1"/>
  <c r="E46" i="1" s="1"/>
  <c r="E41" i="1"/>
  <c r="AM7" i="6"/>
  <c r="AM9" i="6" s="1"/>
  <c r="AM16" i="6" s="1"/>
  <c r="AM27" i="6" s="1"/>
  <c r="D27" i="3" s="1"/>
  <c r="AM46" i="4"/>
  <c r="AL7" i="6"/>
  <c r="AL46" i="4"/>
  <c r="AL9" i="6" l="1"/>
  <c r="AL16" i="6" s="1"/>
  <c r="AL27" i="6" s="1"/>
  <c r="D7" i="3"/>
  <c r="D9" i="3" s="1"/>
  <c r="D16" i="3" s="1"/>
  <c r="AV23" i="9"/>
  <c r="G23" i="9"/>
  <c r="AU23" i="9"/>
  <c r="G46" i="9"/>
  <c r="G49" i="9"/>
  <c r="E55" i="9"/>
  <c r="E75" i="9"/>
  <c r="AV8" i="8"/>
  <c r="K8" i="8"/>
  <c r="D19" i="4"/>
  <c r="E59" i="9"/>
  <c r="E79" i="9"/>
  <c r="AU46" i="9"/>
  <c r="AU49" i="9"/>
  <c r="G55" i="9"/>
  <c r="G75" i="9"/>
  <c r="AW8" i="8"/>
  <c r="E37" i="8"/>
  <c r="AO19" i="4"/>
  <c r="D27" i="4"/>
  <c r="H17" i="12"/>
  <c r="H18" i="12"/>
  <c r="AV28" i="8"/>
  <c r="AS10" i="12"/>
  <c r="AS13" i="12"/>
  <c r="K28" i="8"/>
  <c r="K30" i="8"/>
  <c r="K31" i="8"/>
  <c r="AV46" i="9"/>
  <c r="AV49" i="9"/>
  <c r="AP27" i="4"/>
  <c r="G27" i="1"/>
  <c r="G59" i="9"/>
  <c r="G79" i="9"/>
  <c r="D22" i="4"/>
  <c r="D24" i="4"/>
  <c r="F19" i="1"/>
  <c r="F22" i="1"/>
  <c r="AO27" i="4"/>
  <c r="F27" i="1"/>
  <c r="F37" i="8"/>
  <c r="AP19" i="4"/>
  <c r="AO22" i="4"/>
  <c r="H10" i="12"/>
  <c r="H13" i="12"/>
  <c r="G19" i="1"/>
  <c r="D30" i="4"/>
  <c r="D25" i="4"/>
  <c r="H21" i="12"/>
  <c r="H15" i="12"/>
  <c r="G22" i="1"/>
  <c r="AP22" i="4"/>
  <c r="D35" i="4"/>
  <c r="D31" i="4"/>
  <c r="D14" i="6"/>
  <c r="D17" i="5"/>
  <c r="H23" i="12"/>
  <c r="D36" i="4"/>
  <c r="D40" i="4"/>
  <c r="D41" i="4"/>
  <c r="D45" i="4"/>
  <c r="D46" i="4"/>
  <c r="D7" i="6"/>
  <c r="D15" i="5"/>
  <c r="E14" i="6"/>
  <c r="D19" i="5"/>
  <c r="D9" i="6"/>
  <c r="D16" i="6"/>
  <c r="D27" i="6"/>
  <c r="D28" i="6"/>
  <c r="E26" i="6"/>
  <c r="D10" i="5"/>
  <c r="E16" i="6"/>
  <c r="E27" i="6"/>
  <c r="E15" i="5"/>
  <c r="E28" i="6"/>
  <c r="F26" i="6"/>
  <c r="F28" i="6"/>
  <c r="D12" i="5"/>
  <c r="B55" i="9"/>
  <c r="E10" i="5"/>
  <c r="E12" i="5"/>
  <c r="F15" i="5"/>
  <c r="E19" i="5"/>
  <c r="C27" i="1"/>
  <c r="B75" i="9"/>
  <c r="B59" i="9"/>
  <c r="B79" i="9"/>
  <c r="F10" i="5"/>
  <c r="F12" i="5"/>
  <c r="G26" i="6"/>
  <c r="G28" i="6"/>
  <c r="B37" i="8"/>
  <c r="B39" i="8"/>
  <c r="B42" i="8"/>
  <c r="B43" i="8"/>
  <c r="F19" i="5"/>
  <c r="G15" i="5"/>
  <c r="B80" i="9"/>
  <c r="B81" i="9"/>
  <c r="B76" i="9"/>
  <c r="B77" i="9"/>
  <c r="G10" i="5"/>
  <c r="G12" i="5"/>
  <c r="H26" i="6"/>
  <c r="H28" i="6"/>
  <c r="C19" i="1"/>
  <c r="C22" i="1"/>
  <c r="C24" i="1"/>
  <c r="E39" i="8"/>
  <c r="G19" i="5"/>
  <c r="H15" i="5"/>
  <c r="F24" i="1"/>
  <c r="F25" i="1"/>
  <c r="AO24" i="4"/>
  <c r="AV30" i="8"/>
  <c r="E42" i="8"/>
  <c r="E43" i="8"/>
  <c r="C25" i="1"/>
  <c r="C30" i="1"/>
  <c r="H10" i="5"/>
  <c r="I26" i="6"/>
  <c r="I28" i="6"/>
  <c r="I15" i="5"/>
  <c r="H19" i="5"/>
  <c r="AS15" i="12"/>
  <c r="AV31" i="8"/>
  <c r="E76" i="9"/>
  <c r="E77" i="9"/>
  <c r="E80" i="9"/>
  <c r="E81" i="9"/>
  <c r="AO25" i="4"/>
  <c r="G24" i="1"/>
  <c r="G25" i="1"/>
  <c r="AP24" i="4"/>
  <c r="B14" i="3"/>
  <c r="B17" i="2"/>
  <c r="C35" i="1"/>
  <c r="C31" i="1"/>
  <c r="H12" i="5"/>
  <c r="I10" i="5"/>
  <c r="I12" i="5"/>
  <c r="J26" i="6"/>
  <c r="J28" i="6"/>
  <c r="AW28" i="8"/>
  <c r="AW30" i="8"/>
  <c r="AT10" i="12"/>
  <c r="AT13" i="12"/>
  <c r="F39" i="8"/>
  <c r="F42" i="8"/>
  <c r="F43" i="8"/>
  <c r="J15" i="5"/>
  <c r="I19" i="5"/>
  <c r="AW31" i="8"/>
  <c r="AS17" i="12"/>
  <c r="AS18" i="12"/>
  <c r="AS21" i="12"/>
  <c r="G76" i="9"/>
  <c r="G77" i="9"/>
  <c r="G80" i="9"/>
  <c r="G81" i="9"/>
  <c r="AP25" i="4"/>
  <c r="AT15" i="12"/>
  <c r="J10" i="5"/>
  <c r="K26" i="6"/>
  <c r="K28" i="6"/>
  <c r="C40" i="1"/>
  <c r="C36" i="1"/>
  <c r="K15" i="5"/>
  <c r="J19" i="5"/>
  <c r="F30" i="1"/>
  <c r="AO30" i="4"/>
  <c r="AT17" i="12"/>
  <c r="AT18" i="12"/>
  <c r="AT21" i="12"/>
  <c r="AS23" i="12"/>
  <c r="AO17" i="5"/>
  <c r="E17" i="2"/>
  <c r="J12" i="5"/>
  <c r="O43" i="4"/>
  <c r="O45" i="4"/>
  <c r="C43" i="1"/>
  <c r="C45" i="1"/>
  <c r="C46" i="1"/>
  <c r="C41" i="1"/>
  <c r="L26" i="6"/>
  <c r="L28" i="6"/>
  <c r="K10" i="5"/>
  <c r="K12" i="5"/>
  <c r="K19" i="5"/>
  <c r="L15" i="5"/>
  <c r="G30" i="1"/>
  <c r="AP30" i="4"/>
  <c r="AT23" i="12"/>
  <c r="AP17" i="5"/>
  <c r="F17" i="2"/>
  <c r="AP14" i="6"/>
  <c r="F14" i="3"/>
  <c r="AO35" i="4"/>
  <c r="AO31" i="4"/>
  <c r="F35" i="1"/>
  <c r="F31" i="1"/>
  <c r="O7" i="6"/>
  <c r="O46" i="4"/>
  <c r="M26" i="6"/>
  <c r="M28" i="6"/>
  <c r="L10" i="5"/>
  <c r="L12" i="5"/>
  <c r="L19" i="5"/>
  <c r="M15" i="5"/>
  <c r="F40" i="1"/>
  <c r="F41" i="1"/>
  <c r="F36" i="1"/>
  <c r="AO40" i="4"/>
  <c r="AO36" i="4"/>
  <c r="AP35" i="4"/>
  <c r="AP31" i="4"/>
  <c r="G35" i="1"/>
  <c r="G31" i="1"/>
  <c r="N26" i="6"/>
  <c r="N28" i="6"/>
  <c r="M10" i="5"/>
  <c r="M12" i="5"/>
  <c r="O9" i="6"/>
  <c r="O16" i="6"/>
  <c r="O27" i="6"/>
  <c r="B27" i="3"/>
  <c r="B7" i="3"/>
  <c r="B9" i="3"/>
  <c r="B16" i="3"/>
  <c r="M19" i="5"/>
  <c r="N15" i="5"/>
  <c r="G36" i="1"/>
  <c r="G40" i="1"/>
  <c r="G41" i="1"/>
  <c r="AP36" i="4"/>
  <c r="AP40" i="4"/>
  <c r="AO41" i="4"/>
  <c r="AO43" i="4"/>
  <c r="F43" i="1"/>
  <c r="F45" i="1"/>
  <c r="F46" i="1"/>
  <c r="O26" i="6"/>
  <c r="N10" i="5"/>
  <c r="N12" i="5"/>
  <c r="O15" i="5"/>
  <c r="N19" i="5"/>
  <c r="AO45" i="4"/>
  <c r="AO46" i="4"/>
  <c r="AO7" i="6"/>
  <c r="AP41" i="4"/>
  <c r="AP43" i="4"/>
  <c r="G43" i="1"/>
  <c r="G45" i="1"/>
  <c r="G46" i="1"/>
  <c r="O28" i="6"/>
  <c r="B26" i="3"/>
  <c r="B28" i="3"/>
  <c r="B15" i="2"/>
  <c r="B19" i="2"/>
  <c r="O19" i="5"/>
  <c r="P15" i="5"/>
  <c r="AP45" i="4"/>
  <c r="AP7" i="6"/>
  <c r="AO9" i="6"/>
  <c r="E7" i="3"/>
  <c r="E9" i="3"/>
  <c r="P26" i="6"/>
  <c r="P28" i="6"/>
  <c r="O10" i="5"/>
  <c r="Q15" i="5"/>
  <c r="P19" i="5"/>
  <c r="AP46" i="4"/>
  <c r="AP9" i="6"/>
  <c r="AP16" i="6"/>
  <c r="AP27" i="6"/>
  <c r="F27" i="3"/>
  <c r="F7" i="3"/>
  <c r="F9" i="3"/>
  <c r="F16" i="3"/>
  <c r="O12" i="5"/>
  <c r="B10" i="2"/>
  <c r="B12" i="2"/>
  <c r="Q26" i="6"/>
  <c r="Q28" i="6"/>
  <c r="P10" i="5"/>
  <c r="Q19" i="5"/>
  <c r="R15" i="5"/>
  <c r="P12" i="5"/>
  <c r="Q10" i="5"/>
  <c r="Q12" i="5"/>
  <c r="R26" i="6"/>
  <c r="R28" i="6"/>
  <c r="S15" i="5"/>
  <c r="R19" i="5"/>
  <c r="R10" i="5"/>
  <c r="R12" i="5"/>
  <c r="S26" i="6"/>
  <c r="S28" i="6"/>
  <c r="S19" i="5"/>
  <c r="T15" i="5"/>
  <c r="T26" i="6"/>
  <c r="T28" i="6"/>
  <c r="S10" i="5"/>
  <c r="S12" i="5"/>
  <c r="T19" i="5"/>
  <c r="U15" i="5"/>
  <c r="U26" i="6"/>
  <c r="U28" i="6"/>
  <c r="T10" i="5"/>
  <c r="U19" i="5"/>
  <c r="V15" i="5"/>
  <c r="T12" i="5"/>
  <c r="U10" i="5"/>
  <c r="U12" i="5"/>
  <c r="V26" i="6"/>
  <c r="V28" i="6"/>
  <c r="W15" i="5"/>
  <c r="V19" i="5"/>
  <c r="V10" i="5"/>
  <c r="V12" i="5"/>
  <c r="W26" i="6"/>
  <c r="W28" i="6"/>
  <c r="X15" i="5"/>
  <c r="W19" i="5"/>
  <c r="X26" i="6"/>
  <c r="X28" i="6"/>
  <c r="W10" i="5"/>
  <c r="W12" i="5"/>
  <c r="Y15" i="5"/>
  <c r="X19" i="5"/>
  <c r="Y26" i="6"/>
  <c r="Y28" i="6"/>
  <c r="X10" i="5"/>
  <c r="X12" i="5"/>
  <c r="Z15" i="5"/>
  <c r="Y19" i="5"/>
  <c r="Z26" i="6"/>
  <c r="Z28" i="6"/>
  <c r="Y10" i="5"/>
  <c r="Y12" i="5"/>
  <c r="AA15" i="5"/>
  <c r="Z19" i="5"/>
  <c r="Z10" i="5"/>
  <c r="Z12" i="5"/>
  <c r="AA26" i="6"/>
  <c r="AA19" i="5"/>
  <c r="AB15" i="5"/>
  <c r="C15" i="2"/>
  <c r="C19" i="2"/>
  <c r="AA28" i="6"/>
  <c r="C26" i="3"/>
  <c r="C28" i="3"/>
  <c r="AB19" i="5"/>
  <c r="AC15" i="5"/>
  <c r="AB26" i="6"/>
  <c r="AB28" i="6"/>
  <c r="AA10" i="5"/>
  <c r="AC19" i="5"/>
  <c r="AD15" i="5"/>
  <c r="AC26" i="6"/>
  <c r="AC28" i="6"/>
  <c r="AB10" i="5"/>
  <c r="AA12" i="5"/>
  <c r="C10" i="2"/>
  <c r="C12" i="2"/>
  <c r="AE15" i="5"/>
  <c r="AD19" i="5"/>
  <c r="AB12" i="5"/>
  <c r="AD26" i="6"/>
  <c r="AD28" i="6"/>
  <c r="AC10" i="5"/>
  <c r="AC12" i="5"/>
  <c r="AF15" i="5"/>
  <c r="AE19" i="5"/>
  <c r="AE26" i="6"/>
  <c r="AE28" i="6"/>
  <c r="AD10" i="5"/>
  <c r="AD12" i="5"/>
  <c r="AF19" i="5"/>
  <c r="AG15" i="5"/>
  <c r="AO14" i="6"/>
  <c r="E14" i="3"/>
  <c r="AE10" i="5"/>
  <c r="AE12" i="5"/>
  <c r="AF26" i="6"/>
  <c r="AF28" i="6"/>
  <c r="AH15" i="5"/>
  <c r="AG19" i="5"/>
  <c r="E16" i="3"/>
  <c r="AO16" i="6"/>
  <c r="AF10" i="5"/>
  <c r="AG26" i="6"/>
  <c r="AG28" i="6"/>
  <c r="AI15" i="5"/>
  <c r="AH19" i="5"/>
  <c r="AO27" i="6"/>
  <c r="E27" i="3"/>
  <c r="AH26" i="6"/>
  <c r="AH28" i="6"/>
  <c r="AG10" i="5"/>
  <c r="AG12" i="5"/>
  <c r="AF12" i="5"/>
  <c r="AI19" i="5"/>
  <c r="AJ15" i="5"/>
  <c r="AI26" i="6"/>
  <c r="AI28" i="6"/>
  <c r="AH10" i="5"/>
  <c r="AJ19" i="5"/>
  <c r="AK15" i="5"/>
  <c r="AH12" i="5"/>
  <c r="AJ26" i="6"/>
  <c r="AJ28" i="6"/>
  <c r="AI10" i="5"/>
  <c r="AI12" i="5"/>
  <c r="AK19" i="5"/>
  <c r="AL15" i="5"/>
  <c r="AK26" i="6"/>
  <c r="AK28" i="6"/>
  <c r="AJ10" i="5"/>
  <c r="AJ12" i="5"/>
  <c r="AM15" i="5"/>
  <c r="AL19" i="5"/>
  <c r="AL26" i="6"/>
  <c r="AL28" i="6"/>
  <c r="AK10" i="5"/>
  <c r="AK12" i="5"/>
  <c r="AO15" i="5"/>
  <c r="AM19" i="5"/>
  <c r="D15" i="2"/>
  <c r="D19" i="2"/>
  <c r="AL10" i="5"/>
  <c r="AL12" i="5"/>
  <c r="AM26" i="6"/>
  <c r="AO19" i="5"/>
  <c r="AP15" i="5"/>
  <c r="E15" i="2"/>
  <c r="E19" i="2"/>
  <c r="AM28" i="6"/>
  <c r="AO26" i="6"/>
  <c r="AO28" i="6"/>
  <c r="D26" i="3"/>
  <c r="D28" i="3"/>
  <c r="F15" i="2"/>
  <c r="F19" i="2"/>
  <c r="AP19" i="5"/>
  <c r="AM10" i="5"/>
  <c r="E26" i="3"/>
  <c r="E28" i="3"/>
  <c r="AM12" i="5"/>
  <c r="D10" i="2"/>
  <c r="D12" i="2"/>
  <c r="AP26" i="6"/>
  <c r="AO10" i="5"/>
  <c r="E10" i="2"/>
  <c r="E12" i="2"/>
  <c r="AO12" i="5"/>
  <c r="AP28" i="6"/>
  <c r="AP10" i="5"/>
  <c r="F26" i="3"/>
  <c r="F28" i="3"/>
  <c r="F10" i="2"/>
  <c r="F12" i="2"/>
  <c r="AP12" i="5"/>
</calcChain>
</file>

<file path=xl/sharedStrings.xml><?xml version="1.0" encoding="utf-8"?>
<sst xmlns="http://schemas.openxmlformats.org/spreadsheetml/2006/main" count="745" uniqueCount="305">
  <si>
    <t>Company ABC</t>
  </si>
  <si>
    <t>Annual PnL</t>
  </si>
  <si>
    <t>All figures in INR</t>
  </si>
  <si>
    <t>Particulars</t>
  </si>
  <si>
    <t>FY 24-25</t>
  </si>
  <si>
    <t>FY 25-26</t>
  </si>
  <si>
    <t>FY 26-27</t>
  </si>
  <si>
    <t>FY 27-28</t>
  </si>
  <si>
    <t>FY 28-29</t>
  </si>
  <si>
    <t>Revenue from operations</t>
  </si>
  <si>
    <t>Product 1</t>
  </si>
  <si>
    <t>Product 2</t>
  </si>
  <si>
    <t>Product 3</t>
  </si>
  <si>
    <t>Total Operating Revenue</t>
  </si>
  <si>
    <t>Other Income</t>
  </si>
  <si>
    <t>Total Revenue</t>
  </si>
  <si>
    <t>Cost of Goods Sold</t>
  </si>
  <si>
    <t>Tech employee Salary</t>
  </si>
  <si>
    <t>Variable costs (tools)</t>
  </si>
  <si>
    <t>Total Cost of Goods Sold</t>
  </si>
  <si>
    <t>Gross Profit</t>
  </si>
  <si>
    <t>Gross Profit %</t>
  </si>
  <si>
    <t>Employee Salaries</t>
  </si>
  <si>
    <t>SG&amp;A Expenses</t>
  </si>
  <si>
    <t>EBITDA</t>
  </si>
  <si>
    <t>EBITDA %</t>
  </si>
  <si>
    <t>Depreciation</t>
  </si>
  <si>
    <t>EBIT</t>
  </si>
  <si>
    <t>EBIT %</t>
  </si>
  <si>
    <t xml:space="preserve">Finance Cost </t>
  </si>
  <si>
    <t>Earnings before tax</t>
  </si>
  <si>
    <t>Earnings before tax %</t>
  </si>
  <si>
    <t xml:space="preserve">Tax </t>
  </si>
  <si>
    <t>Earnings after tax</t>
  </si>
  <si>
    <t>Earnings after tax %</t>
  </si>
  <si>
    <t>Annual Balance Sheet</t>
  </si>
  <si>
    <t>Assets</t>
  </si>
  <si>
    <t>Fixed Assets</t>
  </si>
  <si>
    <t>Current Assets</t>
  </si>
  <si>
    <t>Cash &amp; bank balances</t>
  </si>
  <si>
    <t>Total Assets</t>
  </si>
  <si>
    <t>Equity and Liabilities</t>
  </si>
  <si>
    <t>Reserves &amp; Surplus</t>
  </si>
  <si>
    <t>Non-current Liabilities</t>
  </si>
  <si>
    <t>Current Liabilities</t>
  </si>
  <si>
    <t>Total Equity and Liabilities</t>
  </si>
  <si>
    <t>Annual Cash Flow Statement</t>
  </si>
  <si>
    <t>Profit after tax</t>
  </si>
  <si>
    <t>Adj. Profit</t>
  </si>
  <si>
    <t>WC changes</t>
  </si>
  <si>
    <t>Other Assets</t>
  </si>
  <si>
    <t>Cash flow from op. act.</t>
  </si>
  <si>
    <t>Changes in Non Current liabilities</t>
  </si>
  <si>
    <t>Capital Infusion</t>
  </si>
  <si>
    <t>Capex</t>
  </si>
  <si>
    <t>Overall</t>
  </si>
  <si>
    <t>Opening Cash</t>
  </si>
  <si>
    <t>Add: Net Changes</t>
  </si>
  <si>
    <t>Closing Cash</t>
  </si>
  <si>
    <t>Detailed PnL</t>
  </si>
  <si>
    <t>Basis</t>
  </si>
  <si>
    <t>From "Revenue buildup"</t>
  </si>
  <si>
    <t>From "COGS buildup"</t>
  </si>
  <si>
    <t>From "Manpower"</t>
  </si>
  <si>
    <t>From "Overheads"</t>
  </si>
  <si>
    <t>From "CAPEX"</t>
  </si>
  <si>
    <t>Detailed Balance Sheet</t>
  </si>
  <si>
    <t xml:space="preserve">From "Working Capital Buildup" </t>
  </si>
  <si>
    <t>From "Detailed CF"</t>
  </si>
  <si>
    <t>From "Detailed PnL"</t>
  </si>
  <si>
    <t>Detailed Cash Flow Statement</t>
  </si>
  <si>
    <t>From "Detailed BS"</t>
  </si>
  <si>
    <t>Revenue Build-up</t>
  </si>
  <si>
    <t>Apr-24</t>
  </si>
  <si>
    <t>May-24</t>
  </si>
  <si>
    <t>Jun-24</t>
  </si>
  <si>
    <t>Jul-24</t>
  </si>
  <si>
    <t>Aug-24</t>
  </si>
  <si>
    <t>Sep-24</t>
  </si>
  <si>
    <t>Oct-24</t>
  </si>
  <si>
    <t>Nov-24</t>
  </si>
  <si>
    <t>Dec-24</t>
  </si>
  <si>
    <t>Jan-25</t>
  </si>
  <si>
    <t>Feb-25</t>
  </si>
  <si>
    <t>Mar-25</t>
  </si>
  <si>
    <t>MRR per additional customer</t>
  </si>
  <si>
    <t>New Customer</t>
  </si>
  <si>
    <t>Increase per Q</t>
  </si>
  <si>
    <t>Post Completion Retention</t>
  </si>
  <si>
    <t xml:space="preserve">new customers </t>
  </si>
  <si>
    <t>Cummulative Customers</t>
  </si>
  <si>
    <t xml:space="preserve">Revenue from New Customer </t>
  </si>
  <si>
    <t xml:space="preserve">Revenue from Retained Customers </t>
  </si>
  <si>
    <t>Total Revenue from AI Pipeline</t>
  </si>
  <si>
    <t>New Customers</t>
  </si>
  <si>
    <t>growth per Q</t>
  </si>
  <si>
    <t>yearly Retention</t>
  </si>
  <si>
    <t xml:space="preserve">Revenue from E-commerce </t>
  </si>
  <si>
    <t>Customers</t>
  </si>
  <si>
    <t>monthly growth</t>
  </si>
  <si>
    <t>annual growth</t>
  </si>
  <si>
    <t>Revenue from Website generator</t>
  </si>
  <si>
    <t xml:space="preserve">Total Revenue </t>
  </si>
  <si>
    <t>Revenue Summary</t>
  </si>
  <si>
    <t>Product `1</t>
  </si>
  <si>
    <t>Product `2</t>
  </si>
  <si>
    <t>Product `3</t>
  </si>
  <si>
    <t>Total</t>
  </si>
  <si>
    <t>Customer Summary</t>
  </si>
  <si>
    <t>Product 1 New customers</t>
  </si>
  <si>
    <t xml:space="preserve">Product 1 old customers </t>
  </si>
  <si>
    <t>Product 1 cumulative customers</t>
  </si>
  <si>
    <t>Product 2 new customers</t>
  </si>
  <si>
    <t>Product 2 cumulative customers</t>
  </si>
  <si>
    <t>Product 3 customers</t>
  </si>
  <si>
    <t>Overheads Build-up</t>
  </si>
  <si>
    <t>Assumptions</t>
  </si>
  <si>
    <t>Subscription costs</t>
  </si>
  <si>
    <t>monthly, irrespective of people</t>
  </si>
  <si>
    <t>Tech Employees</t>
  </si>
  <si>
    <t>AWS, Database and Vercel</t>
  </si>
  <si>
    <t>based on revenue %</t>
  </si>
  <si>
    <t>Technology</t>
  </si>
  <si>
    <t>Tech salary payable</t>
  </si>
  <si>
    <t>Headcount for tools</t>
  </si>
  <si>
    <t>Variable Costs</t>
  </si>
  <si>
    <t>Monthly</t>
  </si>
  <si>
    <t>Annual</t>
  </si>
  <si>
    <t>Tools</t>
  </si>
  <si>
    <t>Laptop Rent</t>
  </si>
  <si>
    <t>Jira</t>
  </si>
  <si>
    <t>AI</t>
  </si>
  <si>
    <t>E-comm</t>
  </si>
  <si>
    <t>Website</t>
  </si>
  <si>
    <t>Amazon AWS</t>
  </si>
  <si>
    <t>Database</t>
  </si>
  <si>
    <t>Vercel</t>
  </si>
  <si>
    <t>Subscriptions</t>
  </si>
  <si>
    <t>Canva</t>
  </si>
  <si>
    <t>Figma</t>
  </si>
  <si>
    <t>Adobe Suite</t>
  </si>
  <si>
    <t>Total VC</t>
  </si>
  <si>
    <t>Total COGS</t>
  </si>
  <si>
    <t>GP %</t>
  </si>
  <si>
    <t>Revenue</t>
  </si>
  <si>
    <t>COGS Summary</t>
  </si>
  <si>
    <t>Salary</t>
  </si>
  <si>
    <t>Variable Cost</t>
  </si>
  <si>
    <t>%</t>
  </si>
  <si>
    <t>Manpower Buildup</t>
  </si>
  <si>
    <t>Designers and developers</t>
  </si>
  <si>
    <t>1 person will handle 8 projects yearly</t>
  </si>
  <si>
    <t>Project manager</t>
  </si>
  <si>
    <t>1 person will handle 12 projects yearly</t>
  </si>
  <si>
    <t>Monthly CTC</t>
  </si>
  <si>
    <t>Annual CTC</t>
  </si>
  <si>
    <t>Leadership</t>
  </si>
  <si>
    <t>Classification</t>
  </si>
  <si>
    <t>CEO</t>
  </si>
  <si>
    <t>G&amp;A</t>
  </si>
  <si>
    <t>BD Manager</t>
  </si>
  <si>
    <t>S&amp;M</t>
  </si>
  <si>
    <t>Marketing Manager</t>
  </si>
  <si>
    <t>Head of Finance</t>
  </si>
  <si>
    <t>Total Salary Payable</t>
  </si>
  <si>
    <t>Total Headcount</t>
  </si>
  <si>
    <t>Total S&amp;M Salary Payable</t>
  </si>
  <si>
    <t>Product Manager</t>
  </si>
  <si>
    <t>COGS</t>
  </si>
  <si>
    <t>Lead Product designer</t>
  </si>
  <si>
    <t>Full Stack Developer</t>
  </si>
  <si>
    <t>Front end developer</t>
  </si>
  <si>
    <t>Building the AI pipeline</t>
  </si>
  <si>
    <t>CAPEX</t>
  </si>
  <si>
    <t>E-commerce engine</t>
  </si>
  <si>
    <t>Website Generator</t>
  </si>
  <si>
    <t>Sales and Marketing</t>
  </si>
  <si>
    <t>BD Associate</t>
  </si>
  <si>
    <t>Marketing Associate</t>
  </si>
  <si>
    <t>Admin and Finance</t>
  </si>
  <si>
    <t>Accountant</t>
  </si>
  <si>
    <t>General Admin</t>
  </si>
  <si>
    <t>Housekeeping Staff</t>
  </si>
  <si>
    <t>Grand Total Salary Payable</t>
  </si>
  <si>
    <t>Grand Total Headcount</t>
  </si>
  <si>
    <t>Total S&amp;M Salary payable</t>
  </si>
  <si>
    <t>Total salary less COGS and CAPEX</t>
  </si>
  <si>
    <t>Headcount for COGS Laptop</t>
  </si>
  <si>
    <t>Salary Summary</t>
  </si>
  <si>
    <t>Technology COGS</t>
  </si>
  <si>
    <t>Technology CAPEX</t>
  </si>
  <si>
    <t>S&amp;M Leadership</t>
  </si>
  <si>
    <t>Total S&amp;M salary</t>
  </si>
  <si>
    <t>Headcount Summary</t>
  </si>
  <si>
    <t>Financial Summary</t>
  </si>
  <si>
    <t>Less COGS</t>
  </si>
  <si>
    <t>Revenue after tech salary</t>
  </si>
  <si>
    <t>Total Salary</t>
  </si>
  <si>
    <t>Revenue after salary</t>
  </si>
  <si>
    <t>Overheads Buildup</t>
  </si>
  <si>
    <t>Annualy</t>
  </si>
  <si>
    <t xml:space="preserve">Auditor's remuneration </t>
  </si>
  <si>
    <t>Paid in October each year</t>
  </si>
  <si>
    <t>Bank Charges</t>
  </si>
  <si>
    <t>Finance Cost</t>
  </si>
  <si>
    <t>of revenue</t>
  </si>
  <si>
    <t>Business Promotion Expenses</t>
  </si>
  <si>
    <t>100k per quarter</t>
  </si>
  <si>
    <t>15% increase</t>
  </si>
  <si>
    <t>Finance and compliance consulting</t>
  </si>
  <si>
    <t>10% increase</t>
  </si>
  <si>
    <t>Legal Expenses</t>
  </si>
  <si>
    <t>Office Maintenance</t>
  </si>
  <si>
    <t>Office Rent</t>
  </si>
  <si>
    <t>4,500 per person</t>
  </si>
  <si>
    <t>6844 per person</t>
  </si>
  <si>
    <t>Office Suite/G-Suite</t>
  </si>
  <si>
    <t>per employee</t>
  </si>
  <si>
    <t>Payment gateway subscription</t>
  </si>
  <si>
    <t>Power &amp; Fuel Expenses</t>
  </si>
  <si>
    <t>Rates and taxes</t>
  </si>
  <si>
    <t>Travelling &amp; Conveyance Expenses</t>
  </si>
  <si>
    <t>Miscelleaneous Expenses</t>
  </si>
  <si>
    <t>All ads</t>
  </si>
  <si>
    <t>Sales</t>
  </si>
  <si>
    <t>10x ROI</t>
  </si>
  <si>
    <t>LinkedIn</t>
  </si>
  <si>
    <t>Paid in April each year</t>
  </si>
  <si>
    <t>Total Overheads</t>
  </si>
  <si>
    <t>Total SG&amp;A</t>
  </si>
  <si>
    <t xml:space="preserve">Total Sales and Marketing </t>
  </si>
  <si>
    <t>Overheads Summary</t>
  </si>
  <si>
    <t>Finance cost</t>
  </si>
  <si>
    <t>Total S&amp;M (inc. salary)</t>
  </si>
  <si>
    <t>CAPEX Buildup</t>
  </si>
  <si>
    <t>Assuming sale of all assets at the end of year 3</t>
  </si>
  <si>
    <t>Cost</t>
  </si>
  <si>
    <t>Apr-25</t>
  </si>
  <si>
    <t>May-25</t>
  </si>
  <si>
    <t>Jun-25</t>
  </si>
  <si>
    <t>Jul-25</t>
  </si>
  <si>
    <t>Aug-25</t>
  </si>
  <si>
    <t>Sep-25</t>
  </si>
  <si>
    <t>Oct-25</t>
  </si>
  <si>
    <t>Nov-25</t>
  </si>
  <si>
    <t>Dec-25</t>
  </si>
  <si>
    <t>Jan-26</t>
  </si>
  <si>
    <t>Feb-26</t>
  </si>
  <si>
    <t>Mar-26</t>
  </si>
  <si>
    <t>Apr-26</t>
  </si>
  <si>
    <t>May-26</t>
  </si>
  <si>
    <t>Jun-26</t>
  </si>
  <si>
    <t>Jul-26</t>
  </si>
  <si>
    <t>Aug-26</t>
  </si>
  <si>
    <t>Sep-26</t>
  </si>
  <si>
    <t>Oct-26</t>
  </si>
  <si>
    <t>Nov-26</t>
  </si>
  <si>
    <t>Dec-26</t>
  </si>
  <si>
    <t>Jan-27</t>
  </si>
  <si>
    <t>Feb-27</t>
  </si>
  <si>
    <t>Mar-27</t>
  </si>
  <si>
    <t>Capex Team</t>
  </si>
  <si>
    <t>Salaries</t>
  </si>
  <si>
    <t>Total count</t>
  </si>
  <si>
    <t>Incremental headcount</t>
  </si>
  <si>
    <t>R&amp;D spend</t>
  </si>
  <si>
    <t>Total R&amp;D spend</t>
  </si>
  <si>
    <t>Laptops</t>
  </si>
  <si>
    <t>Website refurbishment</t>
  </si>
  <si>
    <t>Additions</t>
  </si>
  <si>
    <t>Sale of assets</t>
  </si>
  <si>
    <t>Gross CAPEX</t>
  </si>
  <si>
    <t>Cummulative Depreciation</t>
  </si>
  <si>
    <t>Net CAPEX</t>
  </si>
  <si>
    <t>Working Capital Buildup</t>
  </si>
  <si>
    <t>DSO/PD</t>
  </si>
  <si>
    <t>Total Sales</t>
  </si>
  <si>
    <t>30 day period</t>
  </si>
  <si>
    <t>AR</t>
  </si>
  <si>
    <t>AP</t>
  </si>
  <si>
    <t>CA-CL</t>
  </si>
  <si>
    <t>Other Expenses</t>
  </si>
  <si>
    <t>AP Others</t>
  </si>
  <si>
    <t>Total AR</t>
  </si>
  <si>
    <t>Total AP</t>
  </si>
  <si>
    <t>Total WC</t>
  </si>
  <si>
    <t xml:space="preserve">Sales </t>
  </si>
  <si>
    <t>2 people for 10 sales</t>
  </si>
  <si>
    <t>Softwares</t>
  </si>
  <si>
    <t>Marketing</t>
  </si>
  <si>
    <t>3 people</t>
  </si>
  <si>
    <t>pm</t>
  </si>
  <si>
    <t>Google Ads</t>
  </si>
  <si>
    <t>Instagram Ads</t>
  </si>
  <si>
    <t>Creative team</t>
  </si>
  <si>
    <t>Premiums</t>
  </si>
  <si>
    <t>Faster its expected</t>
  </si>
  <si>
    <t>Higher the charge</t>
  </si>
  <si>
    <t>Variable costs</t>
  </si>
  <si>
    <t>Google</t>
  </si>
  <si>
    <t>pp</t>
  </si>
  <si>
    <t>Atlassian</t>
  </si>
  <si>
    <t>$30</t>
  </si>
  <si>
    <t>$10</t>
  </si>
  <si>
    <t>$7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</si>
</sst>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  <numFmt numFmtId="167" formatCode="#,##0;\(#,##0\)"/>
  </numFmts>
  <fonts count="2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2"/>
      <color rgb="FF3F3F76"/>
      <name val="Calibri"/>
      <family val="2"/>
    </font>
    <font>
      <sz val="12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</font>
    <font>
      <sz val="12"/>
      <color rgb="FFFFFFFF"/>
      <name val="Calibri"/>
      <family val="2"/>
    </font>
    <font>
      <sz val="11"/>
      <color rgb="FFFFFFFF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B6D7A8"/>
        <bgColor rgb="FFB6D7A8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theme="5"/>
        <bgColor theme="5"/>
      </patternFill>
    </fill>
    <fill>
      <patternFill patternType="solid">
        <fgColor rgb="FFA5A5A5"/>
        <bgColor rgb="FFA5A5A5"/>
      </patternFill>
    </fill>
    <fill>
      <patternFill patternType="solid">
        <fgColor rgb="FFED7D31"/>
        <bgColor rgb="FFED7D31"/>
      </patternFill>
    </fill>
    <fill>
      <patternFill patternType="solid">
        <fgColor rgb="FFBDD6EE"/>
        <bgColor rgb="FFBDD6EE"/>
      </patternFill>
    </fill>
    <fill>
      <patternFill patternType="solid">
        <fgColor rgb="FFECECEC"/>
        <bgColor rgb="FFECECE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B2B2B2"/>
      </left>
      <right/>
      <top/>
      <bottom/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11" borderId="1" applyNumberFormat="0" applyFont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165" fontId="5" fillId="0" borderId="0" xfId="0" applyNumberFormat="1" applyFont="1"/>
    <xf numFmtId="164" fontId="5" fillId="0" borderId="0" xfId="0" applyNumberFormat="1" applyFont="1"/>
    <xf numFmtId="49" fontId="6" fillId="2" borderId="0" xfId="0" applyNumberFormat="1" applyFont="1" applyFill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wrapText="1"/>
    </xf>
    <xf numFmtId="9" fontId="4" fillId="0" borderId="0" xfId="0" applyNumberFormat="1" applyFont="1"/>
    <xf numFmtId="17" fontId="6" fillId="0" borderId="0" xfId="0" applyNumberFormat="1" applyFont="1" applyAlignment="1">
      <alignment horizontal="right"/>
    </xf>
    <xf numFmtId="17" fontId="6" fillId="2" borderId="0" xfId="0" applyNumberFormat="1" applyFont="1" applyFill="1" applyAlignment="1">
      <alignment horizontal="right"/>
    </xf>
    <xf numFmtId="3" fontId="10" fillId="0" borderId="0" xfId="0" applyNumberFormat="1" applyFont="1"/>
    <xf numFmtId="9" fontId="11" fillId="4" borderId="1" xfId="0" applyNumberFormat="1" applyFont="1" applyFill="1" applyBorder="1"/>
    <xf numFmtId="9" fontId="11" fillId="5" borderId="2" xfId="0" applyNumberFormat="1" applyFont="1" applyFill="1" applyBorder="1"/>
    <xf numFmtId="165" fontId="11" fillId="5" borderId="2" xfId="0" applyNumberFormat="1" applyFont="1" applyFill="1" applyBorder="1"/>
    <xf numFmtId="165" fontId="11" fillId="0" borderId="0" xfId="0" applyNumberFormat="1" applyFont="1"/>
    <xf numFmtId="9" fontId="13" fillId="5" borderId="2" xfId="0" applyNumberFormat="1" applyFont="1" applyFill="1" applyBorder="1"/>
    <xf numFmtId="0" fontId="5" fillId="0" borderId="0" xfId="0" applyFont="1" applyAlignment="1">
      <alignment wrapText="1"/>
    </xf>
    <xf numFmtId="0" fontId="5" fillId="4" borderId="1" xfId="0" applyFont="1" applyFill="1" applyBorder="1"/>
    <xf numFmtId="165" fontId="13" fillId="5" borderId="2" xfId="0" applyNumberFormat="1" applyFont="1" applyFill="1" applyBorder="1"/>
    <xf numFmtId="166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9" fontId="5" fillId="0" borderId="0" xfId="0" applyNumberFormat="1" applyFont="1"/>
    <xf numFmtId="9" fontId="5" fillId="0" borderId="0" xfId="0" applyNumberFormat="1" applyFont="1" applyAlignment="1">
      <alignment horizontal="left"/>
    </xf>
    <xf numFmtId="0" fontId="6" fillId="4" borderId="1" xfId="0" applyFont="1" applyFill="1" applyBorder="1"/>
    <xf numFmtId="165" fontId="16" fillId="6" borderId="6" xfId="0" applyNumberFormat="1" applyFont="1" applyFill="1" applyBorder="1" applyAlignment="1">
      <alignment horizontal="right"/>
    </xf>
    <xf numFmtId="165" fontId="16" fillId="6" borderId="7" xfId="0" applyNumberFormat="1" applyFont="1" applyFill="1" applyBorder="1" applyAlignment="1">
      <alignment horizontal="right"/>
    </xf>
    <xf numFmtId="165" fontId="16" fillId="6" borderId="8" xfId="0" applyNumberFormat="1" applyFont="1" applyFill="1" applyBorder="1" applyAlignment="1">
      <alignment horizontal="right"/>
    </xf>
    <xf numFmtId="0" fontId="17" fillId="0" borderId="0" xfId="0" applyFont="1"/>
    <xf numFmtId="165" fontId="18" fillId="7" borderId="9" xfId="0" applyNumberFormat="1" applyFont="1" applyFill="1" applyBorder="1"/>
    <xf numFmtId="9" fontId="6" fillId="0" borderId="0" xfId="0" applyNumberFormat="1" applyFont="1"/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165" fontId="5" fillId="0" borderId="0" xfId="0" applyNumberFormat="1" applyFont="1" applyAlignment="1">
      <alignment horizontal="left"/>
    </xf>
    <xf numFmtId="165" fontId="6" fillId="0" borderId="0" xfId="0" applyNumberFormat="1" applyFont="1"/>
    <xf numFmtId="0" fontId="22" fillId="0" borderId="0" xfId="0" applyFont="1"/>
    <xf numFmtId="0" fontId="11" fillId="5" borderId="2" xfId="0" applyFont="1" applyFill="1" applyBorder="1"/>
    <xf numFmtId="0" fontId="11" fillId="5" borderId="12" xfId="0" applyFont="1" applyFill="1" applyBorder="1" applyAlignment="1">
      <alignment horizontal="right"/>
    </xf>
    <xf numFmtId="0" fontId="11" fillId="5" borderId="13" xfId="0" applyFont="1" applyFill="1" applyBorder="1"/>
    <xf numFmtId="0" fontId="11" fillId="5" borderId="14" xfId="0" applyFont="1" applyFill="1" applyBorder="1" applyAlignment="1">
      <alignment horizontal="right"/>
    </xf>
    <xf numFmtId="0" fontId="0" fillId="0" borderId="0" xfId="0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0" fontId="0" fillId="0" borderId="10" xfId="0" applyBorder="1"/>
    <xf numFmtId="165" fontId="0" fillId="0" borderId="0" xfId="0" applyNumberFormat="1"/>
    <xf numFmtId="166" fontId="5" fillId="0" borderId="0" xfId="1" applyNumberFormat="1" applyFont="1"/>
    <xf numFmtId="0" fontId="0" fillId="12" borderId="10" xfId="0" applyFill="1" applyBorder="1"/>
    <xf numFmtId="0" fontId="17" fillId="13" borderId="0" xfId="0" applyFont="1" applyFill="1"/>
    <xf numFmtId="9" fontId="11" fillId="5" borderId="2" xfId="2" applyFont="1" applyFill="1" applyBorder="1"/>
    <xf numFmtId="0" fontId="4" fillId="13" borderId="0" xfId="0" applyFont="1" applyFill="1" applyAlignment="1">
      <alignment wrapText="1"/>
    </xf>
    <xf numFmtId="0" fontId="5" fillId="4" borderId="10" xfId="0" applyFont="1" applyFill="1" applyBorder="1"/>
    <xf numFmtId="0" fontId="5" fillId="4" borderId="15" xfId="0" applyFont="1" applyFill="1" applyBorder="1"/>
    <xf numFmtId="0" fontId="1" fillId="0" borderId="0" xfId="0" applyFont="1"/>
    <xf numFmtId="0" fontId="1" fillId="12" borderId="10" xfId="0" applyFont="1" applyFill="1" applyBorder="1"/>
    <xf numFmtId="0" fontId="5" fillId="4" borderId="3" xfId="0" applyFont="1" applyFill="1" applyBorder="1" applyAlignment="1">
      <alignment horizontal="left"/>
    </xf>
    <xf numFmtId="49" fontId="6" fillId="2" borderId="10" xfId="0" applyNumberFormat="1" applyFont="1" applyFill="1" applyBorder="1" applyAlignment="1">
      <alignment horizontal="left"/>
    </xf>
    <xf numFmtId="0" fontId="7" fillId="2" borderId="10" xfId="0" applyFont="1" applyFill="1" applyBorder="1"/>
    <xf numFmtId="0" fontId="7" fillId="2" borderId="10" xfId="0" applyFont="1" applyFill="1" applyBorder="1" applyAlignment="1">
      <alignment horizontal="right"/>
    </xf>
    <xf numFmtId="17" fontId="7" fillId="2" borderId="10" xfId="0" applyNumberFormat="1" applyFont="1" applyFill="1" applyBorder="1" applyAlignment="1">
      <alignment horizontal="right"/>
    </xf>
    <xf numFmtId="0" fontId="5" fillId="2" borderId="10" xfId="0" applyFont="1" applyFill="1" applyBorder="1"/>
    <xf numFmtId="0" fontId="9" fillId="2" borderId="10" xfId="0" applyFont="1" applyFill="1" applyBorder="1"/>
    <xf numFmtId="9" fontId="9" fillId="2" borderId="10" xfId="0" applyNumberFormat="1" applyFont="1" applyFill="1" applyBorder="1"/>
    <xf numFmtId="9" fontId="5" fillId="2" borderId="10" xfId="0" applyNumberFormat="1" applyFont="1" applyFill="1" applyBorder="1"/>
    <xf numFmtId="165" fontId="1" fillId="0" borderId="0" xfId="0" applyNumberFormat="1" applyFont="1"/>
    <xf numFmtId="3" fontId="1" fillId="0" borderId="0" xfId="0" applyNumberFormat="1" applyFont="1"/>
    <xf numFmtId="49" fontId="5" fillId="2" borderId="10" xfId="0" applyNumberFormat="1" applyFont="1" applyFill="1" applyBorder="1" applyAlignment="1">
      <alignment horizontal="left"/>
    </xf>
    <xf numFmtId="17" fontId="9" fillId="2" borderId="10" xfId="0" applyNumberFormat="1" applyFont="1" applyFill="1" applyBorder="1" applyAlignment="1">
      <alignment horizontal="right"/>
    </xf>
    <xf numFmtId="9" fontId="1" fillId="0" borderId="0" xfId="0" applyNumberFormat="1" applyFont="1"/>
    <xf numFmtId="165" fontId="1" fillId="3" borderId="0" xfId="0" applyNumberFormat="1" applyFont="1" applyFill="1"/>
    <xf numFmtId="49" fontId="7" fillId="2" borderId="10" xfId="0" applyNumberFormat="1" applyFont="1" applyFill="1" applyBorder="1" applyAlignment="1">
      <alignment horizontal="right"/>
    </xf>
    <xf numFmtId="0" fontId="12" fillId="6" borderId="10" xfId="0" applyFont="1" applyFill="1" applyBorder="1" applyAlignment="1">
      <alignment horizontal="right"/>
    </xf>
    <xf numFmtId="0" fontId="14" fillId="6" borderId="10" xfId="0" applyFont="1" applyFill="1" applyBorder="1"/>
    <xf numFmtId="166" fontId="1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1" applyNumberFormat="1" applyFont="1"/>
    <xf numFmtId="0" fontId="7" fillId="2" borderId="10" xfId="0" applyFont="1" applyFill="1" applyBorder="1" applyAlignment="1">
      <alignment horizontal="left"/>
    </xf>
    <xf numFmtId="49" fontId="9" fillId="2" borderId="10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1" fillId="11" borderId="1" xfId="3" applyFont="1" applyAlignment="1">
      <alignment horizontal="center"/>
    </xf>
    <xf numFmtId="0" fontId="18" fillId="6" borderId="10" xfId="0" applyFont="1" applyFill="1" applyBorder="1"/>
    <xf numFmtId="0" fontId="16" fillId="6" borderId="10" xfId="0" applyFont="1" applyFill="1" applyBorder="1" applyAlignment="1">
      <alignment horizontal="right"/>
    </xf>
    <xf numFmtId="0" fontId="19" fillId="8" borderId="10" xfId="0" applyFont="1" applyFill="1" applyBorder="1"/>
    <xf numFmtId="0" fontId="20" fillId="8" borderId="10" xfId="0" applyFont="1" applyFill="1" applyBorder="1" applyAlignment="1">
      <alignment horizontal="right"/>
    </xf>
    <xf numFmtId="0" fontId="16" fillId="6" borderId="11" xfId="0" applyFont="1" applyFill="1" applyBorder="1" applyAlignment="1">
      <alignment horizontal="right"/>
    </xf>
    <xf numFmtId="0" fontId="16" fillId="6" borderId="10" xfId="0" applyFont="1" applyFill="1" applyBorder="1"/>
    <xf numFmtId="10" fontId="11" fillId="5" borderId="10" xfId="0" applyNumberFormat="1" applyFont="1" applyFill="1" applyBorder="1" applyAlignment="1">
      <alignment horizontal="right"/>
    </xf>
    <xf numFmtId="165" fontId="11" fillId="5" borderId="10" xfId="0" applyNumberFormat="1" applyFont="1" applyFill="1" applyBorder="1" applyAlignment="1">
      <alignment horizontal="left"/>
    </xf>
    <xf numFmtId="0" fontId="11" fillId="5" borderId="10" xfId="0" applyFont="1" applyFill="1" applyBorder="1" applyAlignment="1">
      <alignment horizontal="right"/>
    </xf>
    <xf numFmtId="165" fontId="11" fillId="5" borderId="10" xfId="0" applyNumberFormat="1" applyFont="1" applyFill="1" applyBorder="1" applyAlignment="1">
      <alignment horizontal="right"/>
    </xf>
    <xf numFmtId="165" fontId="11" fillId="5" borderId="10" xfId="0" applyNumberFormat="1" applyFont="1" applyFill="1" applyBorder="1" applyAlignment="1">
      <alignment horizontal="right" vertical="top"/>
    </xf>
    <xf numFmtId="49" fontId="21" fillId="2" borderId="10" xfId="0" applyNumberFormat="1" applyFont="1" applyFill="1" applyBorder="1" applyAlignment="1">
      <alignment horizontal="right"/>
    </xf>
    <xf numFmtId="17" fontId="21" fillId="2" borderId="10" xfId="0" applyNumberFormat="1" applyFont="1" applyFill="1" applyBorder="1" applyAlignment="1">
      <alignment horizontal="right"/>
    </xf>
    <xf numFmtId="165" fontId="5" fillId="10" borderId="10" xfId="0" applyNumberFormat="1" applyFont="1" applyFill="1" applyBorder="1"/>
    <xf numFmtId="167" fontId="1" fillId="0" borderId="0" xfId="0" applyNumberFormat="1" applyFont="1"/>
    <xf numFmtId="0" fontId="5" fillId="4" borderId="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5" fontId="11" fillId="5" borderId="10" xfId="0" applyNumberFormat="1" applyFont="1" applyFill="1" applyBorder="1" applyAlignment="1">
      <alignment horizontal="left"/>
    </xf>
    <xf numFmtId="0" fontId="6" fillId="9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10" fontId="11" fillId="5" borderId="10" xfId="0" applyNumberFormat="1" applyFont="1" applyFill="1" applyBorder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15" fillId="0" borderId="4" xfId="0" applyFont="1" applyBorder="1" applyAlignment="1"/>
    <xf numFmtId="0" fontId="15" fillId="0" borderId="5" xfId="0" applyFont="1" applyBorder="1" applyAlignment="1"/>
    <xf numFmtId="0" fontId="0" fillId="0" borderId="10" xfId="0" applyBorder="1" applyAlignment="1"/>
    <xf numFmtId="0" fontId="15" fillId="0" borderId="10" xfId="0" applyFont="1" applyBorder="1" applyAlignment="1"/>
  </cellXfs>
  <cellStyles count="4">
    <cellStyle name="Comma" xfId="1" builtinId="3"/>
    <cellStyle name="Normal" xfId="0" builtinId="0"/>
    <cellStyle name="Note" xfId="3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A13" zoomScale="68" workbookViewId="0">
      <selection activeCell="C26" sqref="C26"/>
    </sheetView>
  </sheetViews>
  <sheetFormatPr defaultColWidth="14.42578125" defaultRowHeight="15" customHeight="1"/>
  <cols>
    <col min="1" max="1" width="26" customWidth="1"/>
    <col min="2" max="2" width="4.5703125" customWidth="1"/>
    <col min="3" max="3" width="13.42578125" customWidth="1"/>
    <col min="4" max="4" width="12.42578125" customWidth="1"/>
    <col min="5" max="6" width="13.42578125" customWidth="1"/>
    <col min="7" max="7" width="13.42578125" bestFit="1" customWidth="1"/>
    <col min="8" max="26" width="10.5703125" customWidth="1"/>
  </cols>
  <sheetData>
    <row r="1" spans="1:26" ht="21">
      <c r="A1" s="1" t="s">
        <v>0</v>
      </c>
    </row>
    <row r="2" spans="1:26" ht="18.600000000000001">
      <c r="A2" s="2" t="s">
        <v>1</v>
      </c>
    </row>
    <row r="3" spans="1:26" ht="14.45">
      <c r="A3" s="3" t="s">
        <v>2</v>
      </c>
    </row>
    <row r="4" spans="1:26" ht="14.45">
      <c r="A4" s="4"/>
    </row>
    <row r="5" spans="1:26" ht="14.45">
      <c r="A5" s="4"/>
    </row>
    <row r="6" spans="1:26" ht="15.6">
      <c r="A6" s="65" t="s">
        <v>3</v>
      </c>
      <c r="B6" s="66"/>
      <c r="C6" s="67" t="s">
        <v>4</v>
      </c>
      <c r="D6" s="67" t="s">
        <v>5</v>
      </c>
      <c r="E6" s="67" t="s">
        <v>6</v>
      </c>
      <c r="F6" s="68" t="s">
        <v>7</v>
      </c>
      <c r="G6" s="68" t="s">
        <v>8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45">
      <c r="A7" s="6" t="s">
        <v>9</v>
      </c>
      <c r="F7" s="7"/>
      <c r="G7" s="7"/>
    </row>
    <row r="8" spans="1:26" ht="14.45">
      <c r="A8" s="4" t="s">
        <v>10</v>
      </c>
      <c r="C8" s="7">
        <f>SUM('Detailed PnL'!D8:O8)</f>
        <v>30600000</v>
      </c>
      <c r="D8" s="7">
        <f>SUM('Detailed PnL'!P8:AA8)</f>
        <v>54495000</v>
      </c>
      <c r="E8" s="7">
        <f>SUM('Detailed PnL'!AB8:AM8)</f>
        <v>85002750</v>
      </c>
      <c r="F8" s="7">
        <f>'Detailed PnL'!AO8</f>
        <v>122592487.5</v>
      </c>
      <c r="G8" s="7">
        <f>'Detailed PnL'!AP8</f>
        <v>171021729.375</v>
      </c>
    </row>
    <row r="9" spans="1:26" ht="14.45">
      <c r="A9" s="4" t="s">
        <v>11</v>
      </c>
      <c r="C9" s="7">
        <f>SUM('Detailed PnL'!D9:O9)</f>
        <v>3374000</v>
      </c>
      <c r="D9" s="7">
        <f>SUM('Detailed PnL'!P9:AA9)</f>
        <v>24927525</v>
      </c>
      <c r="E9" s="7">
        <f>SUM('Detailed PnL'!AB9:AM9)</f>
        <v>134191890</v>
      </c>
      <c r="F9" s="7">
        <f>'Detailed PnL'!AO9</f>
        <v>58368610.125</v>
      </c>
      <c r="G9" s="7">
        <f>'Detailed PnL'!AP9</f>
        <v>275374764.19687504</v>
      </c>
    </row>
    <row r="10" spans="1:26" ht="14.45">
      <c r="A10" s="4" t="s">
        <v>12</v>
      </c>
      <c r="C10" s="7">
        <f>SUM('Detailed PnL'!D10:O10)</f>
        <v>59532.800000000003</v>
      </c>
      <c r="D10" s="7">
        <f>SUM('Detailed PnL'!P10:AA10)</f>
        <v>827307.22483098344</v>
      </c>
      <c r="E10" s="7">
        <f>SUM('Detailed PnL'!AB10:AM10)</f>
        <v>7745172.0340690035</v>
      </c>
      <c r="F10" s="7">
        <f>'Detailed PnL'!AO10</f>
        <v>10165538.294715568</v>
      </c>
      <c r="G10" s="7">
        <f>'Detailed PnL'!AP10</f>
        <v>13342269.011814183</v>
      </c>
    </row>
    <row r="11" spans="1:26" ht="14.45">
      <c r="A11" s="4"/>
      <c r="F11" s="7"/>
      <c r="G11" s="7"/>
    </row>
    <row r="12" spans="1:26" ht="14.45">
      <c r="A12" s="4" t="s">
        <v>13</v>
      </c>
      <c r="C12" s="7">
        <f t="shared" ref="C12:G12" si="0">SUM(C8:C10)</f>
        <v>34033532.799999997</v>
      </c>
      <c r="D12" s="7">
        <f t="shared" si="0"/>
        <v>80249832.224830985</v>
      </c>
      <c r="E12" s="7">
        <f t="shared" si="0"/>
        <v>226939812.034069</v>
      </c>
      <c r="F12" s="7">
        <f t="shared" si="0"/>
        <v>191126635.91971558</v>
      </c>
      <c r="G12" s="7">
        <f t="shared" si="0"/>
        <v>459738762.58368921</v>
      </c>
    </row>
    <row r="13" spans="1:26" ht="14.45">
      <c r="A13" s="4"/>
      <c r="F13" s="7"/>
      <c r="G13" s="7"/>
    </row>
    <row r="14" spans="1:26" ht="14.45">
      <c r="A14" s="4" t="s">
        <v>14</v>
      </c>
      <c r="C14" s="7">
        <f>SUM('Detailed PnL'!D14:O14)</f>
        <v>0</v>
      </c>
      <c r="D14" s="7">
        <f>SUM('Detailed PnL'!P14:AA14)</f>
        <v>0</v>
      </c>
      <c r="E14" s="7">
        <f>SUM('Detailed PnL'!AB14:AM14)</f>
        <v>0</v>
      </c>
      <c r="F14" s="8">
        <f>'Detailed PnL'!AO14</f>
        <v>0</v>
      </c>
      <c r="G14" s="8">
        <v>0</v>
      </c>
    </row>
    <row r="15" spans="1:26" ht="14.45">
      <c r="A15" s="4"/>
      <c r="F15" s="7"/>
      <c r="G15" s="7"/>
    </row>
    <row r="16" spans="1:26" ht="14.45">
      <c r="A16" s="5" t="s">
        <v>15</v>
      </c>
      <c r="C16" s="7">
        <f t="shared" ref="C16:G16" si="1">C12+C14</f>
        <v>34033532.799999997</v>
      </c>
      <c r="D16" s="7">
        <f t="shared" si="1"/>
        <v>80249832.224830985</v>
      </c>
      <c r="E16" s="7">
        <f t="shared" si="1"/>
        <v>226939812.034069</v>
      </c>
      <c r="F16" s="7">
        <f t="shared" si="1"/>
        <v>191126635.91971558</v>
      </c>
      <c r="G16" s="7">
        <f t="shared" si="1"/>
        <v>459738762.58368921</v>
      </c>
    </row>
    <row r="17" spans="1:26" ht="14.45">
      <c r="A17" s="4"/>
    </row>
    <row r="18" spans="1:26" ht="14.45">
      <c r="A18" s="5" t="s">
        <v>16</v>
      </c>
    </row>
    <row r="19" spans="1:26" ht="14.45">
      <c r="A19" s="4" t="s">
        <v>17</v>
      </c>
      <c r="C19" s="7">
        <f>SUM('Detailed PnL'!D19:O19)</f>
        <v>20130000</v>
      </c>
      <c r="D19" s="7">
        <f>SUM('Detailed PnL'!P19:AA19)</f>
        <v>20845000</v>
      </c>
      <c r="E19" s="7">
        <f>SUM('Detailed PnL'!AB19:AM19)</f>
        <v>28810100.000000004</v>
      </c>
      <c r="F19" s="7">
        <f>'Detailed PnL'!AO19</f>
        <v>56700600.000000015</v>
      </c>
      <c r="G19" s="7">
        <f>'Detailed PnL'!AP19</f>
        <v>79588476.00000003</v>
      </c>
    </row>
    <row r="20" spans="1:26" ht="14.45">
      <c r="A20" s="4" t="s">
        <v>18</v>
      </c>
      <c r="C20" s="7">
        <f>SUM('Detailed PnL'!D20:O20)</f>
        <v>6277764.6000000015</v>
      </c>
      <c r="D20" s="7">
        <f>SUM('Detailed PnL'!P20:AA20)</f>
        <v>17329819.218623236</v>
      </c>
      <c r="E20" s="7">
        <f>SUM('Detailed PnL'!AB20:AM20)</f>
        <v>68067533.041551754</v>
      </c>
      <c r="F20" s="7">
        <f>'Detailed PnL'!AO20</f>
        <v>43137701.918156676</v>
      </c>
      <c r="G20" s="7">
        <f>'Detailed PnL'!AP20</f>
        <v>136266679.25602907</v>
      </c>
    </row>
    <row r="21" spans="1:26" ht="15.75" customHeight="1">
      <c r="A21" s="4"/>
      <c r="F21" s="7"/>
      <c r="G21" s="7"/>
    </row>
    <row r="22" spans="1:26" ht="15.75" customHeight="1">
      <c r="A22" s="5" t="s">
        <v>19</v>
      </c>
      <c r="C22" s="7">
        <f t="shared" ref="C22:G22" si="2">SUM(C19,C20)</f>
        <v>26407764.600000001</v>
      </c>
      <c r="D22" s="7">
        <f t="shared" si="2"/>
        <v>38174819.218623236</v>
      </c>
      <c r="E22" s="7">
        <f t="shared" si="2"/>
        <v>96877633.041551754</v>
      </c>
      <c r="F22" s="7">
        <f t="shared" si="2"/>
        <v>99838301.918156683</v>
      </c>
      <c r="G22" s="7">
        <f t="shared" si="2"/>
        <v>215855155.2560291</v>
      </c>
    </row>
    <row r="23" spans="1:26" ht="15.75" customHeight="1">
      <c r="A23" s="4"/>
    </row>
    <row r="24" spans="1:26" ht="15.75" customHeight="1">
      <c r="A24" s="5" t="s">
        <v>20</v>
      </c>
      <c r="C24" s="7">
        <f t="shared" ref="C24:G24" si="3">C16-C22</f>
        <v>7625768.1999999955</v>
      </c>
      <c r="D24" s="7">
        <f t="shared" si="3"/>
        <v>42075013.006207749</v>
      </c>
      <c r="E24" s="7">
        <f t="shared" si="3"/>
        <v>130062178.99251725</v>
      </c>
      <c r="F24" s="7">
        <f t="shared" si="3"/>
        <v>91288334.0015589</v>
      </c>
      <c r="G24" s="7">
        <f t="shared" si="3"/>
        <v>243883607.32766011</v>
      </c>
    </row>
    <row r="25" spans="1:26" ht="15.75" customHeight="1">
      <c r="A25" s="69" t="s">
        <v>21</v>
      </c>
      <c r="B25" s="70"/>
      <c r="C25" s="71">
        <f t="shared" ref="C25:G25" si="4">C24/C16</f>
        <v>0.22406631262212062</v>
      </c>
      <c r="D25" s="71">
        <f t="shared" si="4"/>
        <v>0.52430032362346612</v>
      </c>
      <c r="E25" s="71">
        <f t="shared" si="4"/>
        <v>0.573113099137457</v>
      </c>
      <c r="F25" s="71">
        <f t="shared" si="4"/>
        <v>0.47763271488703102</v>
      </c>
      <c r="G25" s="71">
        <f t="shared" si="4"/>
        <v>0.53048302030713457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</row>
    <row r="27" spans="1:26" ht="15.75" customHeight="1">
      <c r="A27" s="4" t="s">
        <v>22</v>
      </c>
      <c r="C27" s="7">
        <f>SUM('Detailed PnL'!D27:O27)</f>
        <v>8160000</v>
      </c>
      <c r="D27" s="7">
        <f>SUM('Detailed PnL'!P27:AA27)</f>
        <v>9464400</v>
      </c>
      <c r="E27" s="7">
        <f>SUM('Detailed PnL'!AB27:AM27)</f>
        <v>11311080.000000002</v>
      </c>
      <c r="F27" s="7">
        <f>'Detailed PnL'!AO27</f>
        <v>15237288.000000011</v>
      </c>
      <c r="G27" s="7">
        <f>'Detailed PnL'!AP27</f>
        <v>16761016.800000008</v>
      </c>
    </row>
    <row r="28" spans="1:26" ht="15.75" customHeight="1">
      <c r="A28" s="4" t="s">
        <v>23</v>
      </c>
      <c r="C28" s="7">
        <f>SUM('Detailed PnL'!D28:O28)</f>
        <v>11711517.387039999</v>
      </c>
      <c r="D28" s="7">
        <f>SUM('Detailed PnL'!P28:AA28)</f>
        <v>17753847.791330911</v>
      </c>
      <c r="E28" s="7">
        <f>SUM('Detailed PnL'!AB28:AM28)</f>
        <v>35059618.910195976</v>
      </c>
      <c r="F28" s="7">
        <f>'Detailed PnL'!AO28</f>
        <v>33123416.421325978</v>
      </c>
      <c r="G28" s="7">
        <f>'Detailed PnL'!AP28</f>
        <v>64228099.990708403</v>
      </c>
    </row>
    <row r="29" spans="1:26" ht="15.75" customHeight="1">
      <c r="A29" s="4"/>
    </row>
    <row r="30" spans="1:26" ht="15.75" customHeight="1">
      <c r="A30" s="6" t="s">
        <v>24</v>
      </c>
      <c r="C30" s="7">
        <f t="shared" ref="C30:G30" si="5">C24-C27-C28</f>
        <v>-12245749.187040003</v>
      </c>
      <c r="D30" s="7">
        <f t="shared" si="5"/>
        <v>14856765.214876838</v>
      </c>
      <c r="E30" s="7">
        <f t="shared" si="5"/>
        <v>83691480.082321271</v>
      </c>
      <c r="F30" s="7">
        <f t="shared" si="5"/>
        <v>42927629.580232903</v>
      </c>
      <c r="G30" s="7">
        <f t="shared" si="5"/>
        <v>162894490.53695169</v>
      </c>
    </row>
    <row r="31" spans="1:26" ht="15.75" customHeight="1">
      <c r="A31" s="69" t="s">
        <v>25</v>
      </c>
      <c r="B31" s="70"/>
      <c r="C31" s="72">
        <f t="shared" ref="C31:G31" si="6">C30/C16</f>
        <v>-0.35981422378343292</v>
      </c>
      <c r="D31" s="72">
        <f t="shared" si="6"/>
        <v>0.18513141776114322</v>
      </c>
      <c r="E31" s="72">
        <f t="shared" si="6"/>
        <v>0.36878271525913314</v>
      </c>
      <c r="F31" s="72">
        <f t="shared" si="6"/>
        <v>0.22460307206089805</v>
      </c>
      <c r="G31" s="72">
        <f t="shared" si="6"/>
        <v>0.35431967846587431</v>
      </c>
    </row>
    <row r="32" spans="1:26" ht="15.75" customHeight="1">
      <c r="A32" s="4"/>
    </row>
    <row r="33" spans="1:7" ht="15.75" customHeight="1">
      <c r="A33" s="3" t="s">
        <v>26</v>
      </c>
      <c r="C33" s="7">
        <f>SUM('Detailed PnL'!D33:O33)</f>
        <v>1407500.0000000002</v>
      </c>
      <c r="D33" s="7">
        <f>SUM('Detailed PnL'!P33:AA33)</f>
        <v>4579000</v>
      </c>
      <c r="E33" s="7">
        <f>SUM('Detailed PnL'!AB33:AM33)</f>
        <v>8196900</v>
      </c>
      <c r="F33" s="7">
        <f>'Detailed PnL'!AO33</f>
        <v>4386053.333333333</v>
      </c>
      <c r="G33" s="7">
        <f>'Detailed PnL'!AP33</f>
        <v>8954045.333333334</v>
      </c>
    </row>
    <row r="34" spans="1:7" ht="15.75" customHeight="1">
      <c r="A34" s="4"/>
    </row>
    <row r="35" spans="1:7" ht="15.75" customHeight="1">
      <c r="A35" s="6" t="s">
        <v>27</v>
      </c>
      <c r="C35" s="7">
        <f t="shared" ref="C35:G35" si="7">C30-C33</f>
        <v>-13653249.187040003</v>
      </c>
      <c r="D35" s="7">
        <f t="shared" si="7"/>
        <v>10277765.214876838</v>
      </c>
      <c r="E35" s="7">
        <f t="shared" si="7"/>
        <v>75494580.082321271</v>
      </c>
      <c r="F35" s="7">
        <f t="shared" si="7"/>
        <v>38541576.246899568</v>
      </c>
      <c r="G35" s="7">
        <f t="shared" si="7"/>
        <v>153940445.20361835</v>
      </c>
    </row>
    <row r="36" spans="1:7" ht="15.75" customHeight="1">
      <c r="A36" s="69" t="s">
        <v>28</v>
      </c>
      <c r="B36" s="70"/>
      <c r="C36" s="72">
        <f t="shared" ref="C36:G36" si="8">C35/C16</f>
        <v>-0.40117049461994153</v>
      </c>
      <c r="D36" s="72">
        <f t="shared" si="8"/>
        <v>0.12807210843858538</v>
      </c>
      <c r="E36" s="72">
        <f t="shared" si="8"/>
        <v>0.33266344677763177</v>
      </c>
      <c r="F36" s="72">
        <f t="shared" si="8"/>
        <v>0.20165465719330347</v>
      </c>
      <c r="G36" s="72">
        <f t="shared" si="8"/>
        <v>0.33484330174485899</v>
      </c>
    </row>
    <row r="37" spans="1:7" ht="15.75" customHeight="1">
      <c r="A37" s="4"/>
    </row>
    <row r="38" spans="1:7" ht="15.75" customHeight="1">
      <c r="A38" s="3" t="s">
        <v>29</v>
      </c>
      <c r="C38" s="7">
        <f>SUM('Detailed PnL'!D38:O38)</f>
        <v>340.335328</v>
      </c>
      <c r="D38" s="7">
        <f>SUM('Detailed PnL'!P38:AA38)</f>
        <v>802.49832224830993</v>
      </c>
      <c r="E38" s="7">
        <f>SUM('Detailed PnL'!AB38:AM38)</f>
        <v>2269.3981203406902</v>
      </c>
      <c r="F38" s="7">
        <f>'Detailed PnL'!AO38</f>
        <v>1911.2663591971559</v>
      </c>
      <c r="G38" s="7">
        <f>'Detailed PnL'!AP38</f>
        <v>4597.3876258368928</v>
      </c>
    </row>
    <row r="39" spans="1:7" ht="15.75" customHeight="1">
      <c r="A39" s="3"/>
    </row>
    <row r="40" spans="1:7" ht="15.75" customHeight="1">
      <c r="A40" s="6" t="s">
        <v>30</v>
      </c>
      <c r="C40" s="7">
        <f t="shared" ref="C40:G40" si="9">C35-C38</f>
        <v>-13653589.522368003</v>
      </c>
      <c r="D40" s="7">
        <f t="shared" si="9"/>
        <v>10276962.71655459</v>
      </c>
      <c r="E40" s="7">
        <f t="shared" si="9"/>
        <v>75492310.684200928</v>
      </c>
      <c r="F40" s="7">
        <f t="shared" si="9"/>
        <v>38539664.980540372</v>
      </c>
      <c r="G40" s="7">
        <f t="shared" si="9"/>
        <v>153935847.8159925</v>
      </c>
    </row>
    <row r="41" spans="1:7" ht="15.75" customHeight="1">
      <c r="A41" s="69" t="s">
        <v>31</v>
      </c>
      <c r="B41" s="70"/>
      <c r="C41" s="72">
        <f t="shared" ref="C41:G41" si="10">C40/C16</f>
        <v>-0.40118049461994154</v>
      </c>
      <c r="D41" s="72">
        <f t="shared" si="10"/>
        <v>0.1280621084385854</v>
      </c>
      <c r="E41" s="72">
        <f t="shared" si="10"/>
        <v>0.33265344677763176</v>
      </c>
      <c r="F41" s="72">
        <f t="shared" si="10"/>
        <v>0.20164465719330349</v>
      </c>
      <c r="G41" s="72">
        <f t="shared" si="10"/>
        <v>0.33483330174485898</v>
      </c>
    </row>
    <row r="42" spans="1:7" ht="15.75" customHeight="1">
      <c r="A42" s="4"/>
    </row>
    <row r="43" spans="1:7" ht="15.75" customHeight="1">
      <c r="A43" s="3" t="s">
        <v>32</v>
      </c>
      <c r="C43" s="7">
        <f t="shared" ref="C43:E43" si="11">IF((C40*25%)&lt;0,0,(C40*25%))</f>
        <v>0</v>
      </c>
      <c r="D43" s="7">
        <f t="shared" si="11"/>
        <v>2569240.6791386474</v>
      </c>
      <c r="E43" s="7">
        <f t="shared" si="11"/>
        <v>18873077.671050232</v>
      </c>
      <c r="F43" s="7">
        <f>'Detailed PnL'!AO43</f>
        <v>9634916.2451350931</v>
      </c>
      <c r="G43" s="7">
        <f>'Detailed PnL'!AP43</f>
        <v>38483961.953998126</v>
      </c>
    </row>
    <row r="44" spans="1:7" ht="15.75" customHeight="1">
      <c r="A44" s="4"/>
    </row>
    <row r="45" spans="1:7" ht="15.75" customHeight="1">
      <c r="A45" s="6" t="s">
        <v>33</v>
      </c>
      <c r="C45" s="7">
        <f t="shared" ref="C45:G45" si="12">C40-C43</f>
        <v>-13653589.522368003</v>
      </c>
      <c r="D45" s="7">
        <f t="shared" si="12"/>
        <v>7707722.0374159422</v>
      </c>
      <c r="E45" s="7">
        <f t="shared" si="12"/>
        <v>56619233.013150692</v>
      </c>
      <c r="F45" s="7">
        <f t="shared" si="12"/>
        <v>28904748.735405281</v>
      </c>
      <c r="G45" s="7">
        <f t="shared" si="12"/>
        <v>115451885.86199439</v>
      </c>
    </row>
    <row r="46" spans="1:7" ht="15.75" customHeight="1">
      <c r="A46" s="69" t="s">
        <v>34</v>
      </c>
      <c r="B46" s="70"/>
      <c r="C46" s="72">
        <f t="shared" ref="C46:G46" si="13">C45/C16</f>
        <v>-0.40118049461994154</v>
      </c>
      <c r="D46" s="72">
        <f t="shared" si="13"/>
        <v>9.6046581328939035E-2</v>
      </c>
      <c r="E46" s="72">
        <f t="shared" si="13"/>
        <v>0.24949008508322379</v>
      </c>
      <c r="F46" s="72">
        <f t="shared" si="13"/>
        <v>0.15123349289497762</v>
      </c>
      <c r="G46" s="72">
        <f t="shared" si="13"/>
        <v>0.25112497630864428</v>
      </c>
    </row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W1000"/>
  <sheetViews>
    <sheetView showGridLines="0" topLeftCell="A7" zoomScale="112" zoomScaleNormal="112" workbookViewId="0">
      <pane xSplit="5" topLeftCell="F1" activePane="topRight" state="frozen"/>
      <selection pane="topRight" activeCell="D22" sqref="D22"/>
    </sheetView>
  </sheetViews>
  <sheetFormatPr defaultColWidth="14.42578125" defaultRowHeight="15" customHeight="1"/>
  <cols>
    <col min="1" max="1" width="28.140625" customWidth="1"/>
    <col min="2" max="2" width="11.140625" customWidth="1"/>
    <col min="3" max="3" width="10.85546875" bestFit="1" customWidth="1"/>
    <col min="4" max="4" width="13.85546875" customWidth="1"/>
    <col min="5" max="5" width="11.5703125" customWidth="1"/>
    <col min="6" max="6" width="4" customWidth="1"/>
    <col min="7" max="7" width="11.85546875" bestFit="1" customWidth="1"/>
    <col min="8" max="42" width="10.5703125" customWidth="1"/>
    <col min="43" max="43" width="4.42578125" customWidth="1"/>
    <col min="44" max="44" width="13.42578125" customWidth="1"/>
    <col min="45" max="45" width="13" customWidth="1"/>
    <col min="46" max="46" width="5.85546875" customWidth="1"/>
    <col min="47" max="47" width="10.5703125" customWidth="1"/>
    <col min="48" max="48" width="11.85546875" customWidth="1"/>
    <col min="49" max="49" width="10.5703125" customWidth="1"/>
  </cols>
  <sheetData>
    <row r="1" spans="1:49" ht="21">
      <c r="A1" s="1" t="s">
        <v>0</v>
      </c>
      <c r="E1" s="26"/>
      <c r="AS1" s="26"/>
    </row>
    <row r="2" spans="1:49" ht="18.600000000000001">
      <c r="A2" s="2" t="s">
        <v>199</v>
      </c>
      <c r="E2" s="26"/>
      <c r="AS2" s="26"/>
    </row>
    <row r="3" spans="1:49" ht="14.45">
      <c r="A3" s="22"/>
      <c r="E3" s="26"/>
      <c r="AS3" s="26"/>
    </row>
    <row r="4" spans="1:49" ht="14.45">
      <c r="A4" s="22"/>
      <c r="E4" s="26"/>
      <c r="AS4" s="26"/>
    </row>
    <row r="5" spans="1:49" ht="15.6">
      <c r="A5" s="22"/>
      <c r="D5" s="109" t="s">
        <v>116</v>
      </c>
      <c r="E5" s="117"/>
      <c r="G5" s="86" t="s">
        <v>73</v>
      </c>
      <c r="H5" s="86" t="s">
        <v>74</v>
      </c>
      <c r="I5" s="86" t="s">
        <v>75</v>
      </c>
      <c r="J5" s="86" t="s">
        <v>76</v>
      </c>
      <c r="K5" s="86" t="s">
        <v>77</v>
      </c>
      <c r="L5" s="86" t="s">
        <v>78</v>
      </c>
      <c r="M5" s="86" t="s">
        <v>79</v>
      </c>
      <c r="N5" s="86" t="s">
        <v>80</v>
      </c>
      <c r="O5" s="86" t="s">
        <v>81</v>
      </c>
      <c r="P5" s="86" t="s">
        <v>82</v>
      </c>
      <c r="Q5" s="86" t="s">
        <v>83</v>
      </c>
      <c r="R5" s="86" t="s">
        <v>84</v>
      </c>
      <c r="S5" s="76">
        <v>45748</v>
      </c>
      <c r="T5" s="76">
        <v>45778</v>
      </c>
      <c r="U5" s="76">
        <v>45809</v>
      </c>
      <c r="V5" s="76">
        <v>45839</v>
      </c>
      <c r="W5" s="76">
        <v>45870</v>
      </c>
      <c r="X5" s="76">
        <v>45901</v>
      </c>
      <c r="Y5" s="76">
        <v>45931</v>
      </c>
      <c r="Z5" s="76">
        <v>45962</v>
      </c>
      <c r="AA5" s="76">
        <v>45992</v>
      </c>
      <c r="AB5" s="76">
        <v>46023</v>
      </c>
      <c r="AC5" s="76">
        <v>46054</v>
      </c>
      <c r="AD5" s="76">
        <v>46082</v>
      </c>
      <c r="AE5" s="76">
        <v>46113</v>
      </c>
      <c r="AF5" s="76">
        <v>46143</v>
      </c>
      <c r="AG5" s="76">
        <v>46174</v>
      </c>
      <c r="AH5" s="76">
        <v>46204</v>
      </c>
      <c r="AI5" s="76">
        <v>46235</v>
      </c>
      <c r="AJ5" s="76">
        <v>46266</v>
      </c>
      <c r="AK5" s="76">
        <v>46296</v>
      </c>
      <c r="AL5" s="76">
        <v>46327</v>
      </c>
      <c r="AM5" s="76">
        <v>46357</v>
      </c>
      <c r="AN5" s="76">
        <v>46388</v>
      </c>
      <c r="AO5" s="76">
        <v>46419</v>
      </c>
      <c r="AP5" s="76">
        <v>46447</v>
      </c>
      <c r="AR5" s="107"/>
      <c r="AS5" s="113"/>
      <c r="AU5" s="76" t="s">
        <v>7</v>
      </c>
      <c r="AV5" s="76" t="s">
        <v>8</v>
      </c>
    </row>
    <row r="6" spans="1:49" ht="14.45">
      <c r="A6" s="22"/>
      <c r="E6" s="26"/>
      <c r="AS6" s="26"/>
    </row>
    <row r="7" spans="1:49" ht="14.45">
      <c r="A7" s="5" t="s">
        <v>3</v>
      </c>
      <c r="B7" s="5" t="s">
        <v>157</v>
      </c>
      <c r="D7" s="94" t="s">
        <v>126</v>
      </c>
      <c r="E7" s="9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110" t="s">
        <v>200</v>
      </c>
      <c r="AS7" s="117"/>
      <c r="AT7" s="7"/>
      <c r="AU7" s="7"/>
      <c r="AV7" s="7"/>
      <c r="AW7" s="7"/>
    </row>
    <row r="8" spans="1:49" ht="14.45">
      <c r="A8" s="12" t="s">
        <v>201</v>
      </c>
      <c r="B8" s="3" t="s">
        <v>159</v>
      </c>
      <c r="D8" s="111" t="s">
        <v>202</v>
      </c>
      <c r="E8" s="117"/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20000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25000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30000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/>
      <c r="AR8" s="111" t="s">
        <v>202</v>
      </c>
      <c r="AS8" s="117"/>
      <c r="AT8" s="7"/>
      <c r="AU8" s="7">
        <v>30000</v>
      </c>
      <c r="AV8" s="7">
        <v>30000</v>
      </c>
      <c r="AW8" s="7"/>
    </row>
    <row r="9" spans="1:49" ht="14.45">
      <c r="A9" s="12" t="s">
        <v>203</v>
      </c>
      <c r="B9" s="3" t="s">
        <v>204</v>
      </c>
      <c r="D9" s="96">
        <v>1.0000000000000001E-5</v>
      </c>
      <c r="E9" s="97" t="s">
        <v>205</v>
      </c>
      <c r="G9" s="7">
        <f>$D9*'Revenue Buildup'!E$32</f>
        <v>15.000000000000002</v>
      </c>
      <c r="H9" s="7">
        <f>$D9*'Revenue Buildup'!F$32</f>
        <v>15.490000000000002</v>
      </c>
      <c r="I9" s="7">
        <f>$D9*'Revenue Buildup'!G$32</f>
        <v>15.840000000000002</v>
      </c>
      <c r="J9" s="7">
        <f>$D9*'Revenue Buildup'!H$32</f>
        <v>18.225000000000001</v>
      </c>
      <c r="K9" s="7">
        <f>$D9*'Revenue Buildup'!I$32</f>
        <v>33.645000000000003</v>
      </c>
      <c r="L9" s="7">
        <f>$D9*'Revenue Buildup'!J$32</f>
        <v>19.100000000000001</v>
      </c>
      <c r="M9" s="7">
        <f>$D9*'Revenue Buildup'!K$32</f>
        <v>36.660000000000004</v>
      </c>
      <c r="N9" s="7">
        <f>$D9*'Revenue Buildup'!L$32</f>
        <v>37.370000000000005</v>
      </c>
      <c r="O9" s="7">
        <f>$D9*'Revenue Buildup'!M$32</f>
        <v>23.086000000000002</v>
      </c>
      <c r="P9" s="7">
        <f>$D9*'Revenue Buildup'!N$32</f>
        <v>40.980200000000004</v>
      </c>
      <c r="Q9" s="7">
        <f>$D9*'Revenue Buildup'!O$32</f>
        <v>41.948240000000006</v>
      </c>
      <c r="R9" s="7">
        <f>$D9*'Revenue Buildup'!P$32</f>
        <v>42.990887999999998</v>
      </c>
      <c r="S9" s="7">
        <f>$D9*'Revenue Buildup'!Q$32</f>
        <v>45.065018880000004</v>
      </c>
      <c r="T9" s="7">
        <f>$D9*'Revenue Buildup'!R$32</f>
        <v>62.363572656000002</v>
      </c>
      <c r="U9" s="7">
        <f>$D9*'Revenue Buildup'!S$32</f>
        <v>32.567487187200001</v>
      </c>
      <c r="V9" s="7">
        <f>$D9*'Revenue Buildup'!T$32</f>
        <v>52.462184624640003</v>
      </c>
      <c r="W9" s="7">
        <f>$D9*'Revenue Buildup'!U$32</f>
        <v>54.776171549568005</v>
      </c>
      <c r="X9" s="7">
        <f>$D9*'Revenue Buildup'!V$32</f>
        <v>57.325105859481603</v>
      </c>
      <c r="Y9" s="7">
        <f>$D9*'Revenue Buildup'!W$32</f>
        <v>62.469127031377923</v>
      </c>
      <c r="Z9" s="7">
        <f>$D9*'Revenue Buildup'!X$32</f>
        <v>65.974952437653513</v>
      </c>
      <c r="AA9" s="7">
        <f>$D9*'Revenue Buildup'!Y$32</f>
        <v>85.586492925184203</v>
      </c>
      <c r="AB9" s="7">
        <f>$D9*'Revenue Buildup'!Z$32</f>
        <v>94.44974151022106</v>
      </c>
      <c r="AC9" s="7">
        <f>$D9*'Revenue Buildup'!AA$32</f>
        <v>83.950189812265265</v>
      </c>
      <c r="AD9" s="7">
        <f>$D9*'Revenue Buildup'!AB$32</f>
        <v>105.50827777471832</v>
      </c>
      <c r="AE9" s="7">
        <f>$D9*'Revenue Buildup'!AC$32</f>
        <v>113.66762749614507</v>
      </c>
      <c r="AF9" s="7">
        <f>$D9*'Revenue Buildup'!AD$32</f>
        <v>105.43192799537408</v>
      </c>
      <c r="AG9" s="7">
        <f>$D9*'Revenue Buildup'!AE$32</f>
        <v>131.31418859444892</v>
      </c>
      <c r="AH9" s="7">
        <f>$D9*'Revenue Buildup'!AF$32</f>
        <v>146.3205013133387</v>
      </c>
      <c r="AI9" s="7">
        <f>$D9*'Revenue Buildup'!AG$32</f>
        <v>142.34422657600643</v>
      </c>
      <c r="AJ9" s="7">
        <f>$D9*'Revenue Buildup'!AH$32</f>
        <v>173.39181939120772</v>
      </c>
      <c r="AK9" s="7">
        <f>$D9*'Revenue Buildup'!AI$32</f>
        <v>192.00565576944922</v>
      </c>
      <c r="AL9" s="7">
        <f>$D9*'Revenue Buildup'!AJ$32</f>
        <v>210.92450942333909</v>
      </c>
      <c r="AM9" s="7">
        <f>$D9*'Revenue Buildup'!AK$32</f>
        <v>216.0091838080069</v>
      </c>
      <c r="AN9" s="7">
        <f>$D9*'Revenue Buildup'!AL$32</f>
        <v>263.18112306960825</v>
      </c>
      <c r="AO9" s="7">
        <f>$D9*'Revenue Buildup'!AM$32</f>
        <v>291.82584518352996</v>
      </c>
      <c r="AP9" s="7">
        <f>$D9*'Revenue Buildup'!AN$32</f>
        <v>282.98151172023591</v>
      </c>
      <c r="AQ9" s="7"/>
      <c r="AR9" s="96">
        <v>1.0000000000000001E-5</v>
      </c>
      <c r="AS9" s="97" t="s">
        <v>205</v>
      </c>
      <c r="AT9" s="7"/>
      <c r="AU9" s="7">
        <f>$AR9*'Revenue Buildup'!AS$32</f>
        <v>1911.2663591971559</v>
      </c>
      <c r="AV9" s="7">
        <f>$AR9*'Revenue Buildup'!AT$32</f>
        <v>4597.3876258368928</v>
      </c>
      <c r="AW9" s="7"/>
    </row>
    <row r="10" spans="1:49" ht="14.45">
      <c r="A10" s="12" t="s">
        <v>206</v>
      </c>
      <c r="B10" s="3" t="s">
        <v>159</v>
      </c>
      <c r="D10" s="98" t="s">
        <v>207</v>
      </c>
      <c r="E10" s="97" t="s">
        <v>208</v>
      </c>
      <c r="G10" s="7">
        <v>100000</v>
      </c>
      <c r="H10" s="7">
        <v>0</v>
      </c>
      <c r="I10" s="7">
        <v>0</v>
      </c>
      <c r="J10" s="7">
        <f>G10</f>
        <v>100000</v>
      </c>
      <c r="K10" s="7">
        <v>0</v>
      </c>
      <c r="L10" s="7">
        <v>0</v>
      </c>
      <c r="M10" s="7">
        <f>J10</f>
        <v>100000</v>
      </c>
      <c r="N10" s="7">
        <v>0</v>
      </c>
      <c r="O10" s="7">
        <v>0</v>
      </c>
      <c r="P10" s="7">
        <f>M10</f>
        <v>100000</v>
      </c>
      <c r="Q10" s="7">
        <v>0</v>
      </c>
      <c r="R10" s="7">
        <v>0</v>
      </c>
      <c r="S10" s="7">
        <f>P10*1.15</f>
        <v>114999.99999999999</v>
      </c>
      <c r="T10" s="7">
        <v>0</v>
      </c>
      <c r="U10" s="7">
        <v>0</v>
      </c>
      <c r="V10" s="7">
        <f>S10</f>
        <v>114999.99999999999</v>
      </c>
      <c r="W10" s="7">
        <v>0</v>
      </c>
      <c r="X10" s="7">
        <v>0</v>
      </c>
      <c r="Y10" s="7">
        <f>V10</f>
        <v>114999.99999999999</v>
      </c>
      <c r="Z10" s="7">
        <v>0</v>
      </c>
      <c r="AA10" s="7">
        <v>0</v>
      </c>
      <c r="AB10" s="7">
        <f>Y10</f>
        <v>114999.99999999999</v>
      </c>
      <c r="AC10" s="7">
        <v>0</v>
      </c>
      <c r="AD10" s="7">
        <v>0</v>
      </c>
      <c r="AE10" s="7">
        <f>AB10*1.15</f>
        <v>132249.99999999997</v>
      </c>
      <c r="AF10" s="7">
        <v>0</v>
      </c>
      <c r="AG10" s="7">
        <v>0</v>
      </c>
      <c r="AH10" s="7">
        <f>AE10</f>
        <v>132249.99999999997</v>
      </c>
      <c r="AI10" s="7">
        <v>0</v>
      </c>
      <c r="AJ10" s="7">
        <v>0</v>
      </c>
      <c r="AK10" s="7">
        <f>AH10</f>
        <v>132249.99999999997</v>
      </c>
      <c r="AL10" s="7">
        <v>0</v>
      </c>
      <c r="AM10" s="7">
        <v>0</v>
      </c>
      <c r="AN10" s="7">
        <f>AK10</f>
        <v>132249.99999999997</v>
      </c>
      <c r="AO10" s="7">
        <v>0</v>
      </c>
      <c r="AP10" s="7">
        <v>0</v>
      </c>
      <c r="AQ10" s="7"/>
      <c r="AR10" s="99">
        <v>600000</v>
      </c>
      <c r="AS10" s="97" t="s">
        <v>208</v>
      </c>
      <c r="AT10" s="7"/>
      <c r="AU10" s="7">
        <f t="shared" ref="AU10:AU13" si="0">AR10</f>
        <v>600000</v>
      </c>
      <c r="AV10" s="7">
        <f>AR10*1.15</f>
        <v>690000</v>
      </c>
      <c r="AW10" s="7"/>
    </row>
    <row r="11" spans="1:49" ht="29.1">
      <c r="A11" s="12" t="s">
        <v>209</v>
      </c>
      <c r="B11" s="3" t="s">
        <v>159</v>
      </c>
      <c r="D11" s="99">
        <v>35000</v>
      </c>
      <c r="E11" s="97" t="s">
        <v>210</v>
      </c>
      <c r="G11" s="7">
        <f t="shared" ref="G11:G12" si="1">D11</f>
        <v>35000</v>
      </c>
      <c r="H11" s="7">
        <f t="shared" ref="H11:R11" si="2">G11</f>
        <v>35000</v>
      </c>
      <c r="I11" s="7">
        <f t="shared" si="2"/>
        <v>35000</v>
      </c>
      <c r="J11" s="7">
        <f t="shared" si="2"/>
        <v>35000</v>
      </c>
      <c r="K11" s="7">
        <f t="shared" si="2"/>
        <v>35000</v>
      </c>
      <c r="L11" s="7">
        <f t="shared" si="2"/>
        <v>35000</v>
      </c>
      <c r="M11" s="7">
        <f t="shared" si="2"/>
        <v>35000</v>
      </c>
      <c r="N11" s="7">
        <f t="shared" si="2"/>
        <v>35000</v>
      </c>
      <c r="O11" s="7">
        <f t="shared" si="2"/>
        <v>35000</v>
      </c>
      <c r="P11" s="7">
        <f t="shared" si="2"/>
        <v>35000</v>
      </c>
      <c r="Q11" s="7">
        <f t="shared" si="2"/>
        <v>35000</v>
      </c>
      <c r="R11" s="7">
        <f t="shared" si="2"/>
        <v>35000</v>
      </c>
      <c r="S11" s="7">
        <f t="shared" ref="S11:S12" si="3">R11*1.1</f>
        <v>38500</v>
      </c>
      <c r="T11" s="7">
        <f t="shared" ref="T11:AD11" si="4">S11</f>
        <v>38500</v>
      </c>
      <c r="U11" s="7">
        <f t="shared" si="4"/>
        <v>38500</v>
      </c>
      <c r="V11" s="7">
        <f t="shared" si="4"/>
        <v>38500</v>
      </c>
      <c r="W11" s="7">
        <f t="shared" si="4"/>
        <v>38500</v>
      </c>
      <c r="X11" s="7">
        <f t="shared" si="4"/>
        <v>38500</v>
      </c>
      <c r="Y11" s="7">
        <f t="shared" si="4"/>
        <v>38500</v>
      </c>
      <c r="Z11" s="7">
        <f t="shared" si="4"/>
        <v>38500</v>
      </c>
      <c r="AA11" s="7">
        <f t="shared" si="4"/>
        <v>38500</v>
      </c>
      <c r="AB11" s="7">
        <f t="shared" si="4"/>
        <v>38500</v>
      </c>
      <c r="AC11" s="7">
        <f t="shared" si="4"/>
        <v>38500</v>
      </c>
      <c r="AD11" s="7">
        <f t="shared" si="4"/>
        <v>38500</v>
      </c>
      <c r="AE11" s="7">
        <f t="shared" ref="AE11:AE12" si="5">AD11*1.1</f>
        <v>42350</v>
      </c>
      <c r="AF11" s="7">
        <f t="shared" ref="AF11:AP11" si="6">AE11</f>
        <v>42350</v>
      </c>
      <c r="AG11" s="7">
        <f t="shared" si="6"/>
        <v>42350</v>
      </c>
      <c r="AH11" s="7">
        <f t="shared" si="6"/>
        <v>42350</v>
      </c>
      <c r="AI11" s="7">
        <f t="shared" si="6"/>
        <v>42350</v>
      </c>
      <c r="AJ11" s="7">
        <f t="shared" si="6"/>
        <v>42350</v>
      </c>
      <c r="AK11" s="7">
        <f t="shared" si="6"/>
        <v>42350</v>
      </c>
      <c r="AL11" s="7">
        <f t="shared" si="6"/>
        <v>42350</v>
      </c>
      <c r="AM11" s="7">
        <f t="shared" si="6"/>
        <v>42350</v>
      </c>
      <c r="AN11" s="7">
        <f t="shared" si="6"/>
        <v>42350</v>
      </c>
      <c r="AO11" s="7">
        <f t="shared" si="6"/>
        <v>42350</v>
      </c>
      <c r="AP11" s="7">
        <f t="shared" si="6"/>
        <v>42350</v>
      </c>
      <c r="AQ11" s="7"/>
      <c r="AR11" s="99">
        <f>45000*12</f>
        <v>540000</v>
      </c>
      <c r="AS11" s="97" t="s">
        <v>210</v>
      </c>
      <c r="AT11" s="7"/>
      <c r="AU11" s="7">
        <f t="shared" si="0"/>
        <v>540000</v>
      </c>
      <c r="AV11" s="7">
        <f t="shared" ref="AV11:AV12" si="7">AU11*1.1</f>
        <v>594000</v>
      </c>
      <c r="AW11" s="7"/>
    </row>
    <row r="12" spans="1:49" ht="14.45">
      <c r="A12" s="59" t="s">
        <v>211</v>
      </c>
      <c r="B12" s="3" t="s">
        <v>159</v>
      </c>
      <c r="D12" s="99">
        <v>50000</v>
      </c>
      <c r="E12" s="97" t="s">
        <v>210</v>
      </c>
      <c r="G12" s="7">
        <f t="shared" si="1"/>
        <v>50000</v>
      </c>
      <c r="H12" s="7">
        <f t="shared" ref="H12:R12" si="8">G12</f>
        <v>50000</v>
      </c>
      <c r="I12" s="7">
        <f t="shared" si="8"/>
        <v>50000</v>
      </c>
      <c r="J12" s="7">
        <f t="shared" si="8"/>
        <v>50000</v>
      </c>
      <c r="K12" s="7">
        <f t="shared" si="8"/>
        <v>50000</v>
      </c>
      <c r="L12" s="7">
        <f t="shared" si="8"/>
        <v>50000</v>
      </c>
      <c r="M12" s="7">
        <f t="shared" si="8"/>
        <v>50000</v>
      </c>
      <c r="N12" s="7">
        <f t="shared" si="8"/>
        <v>50000</v>
      </c>
      <c r="O12" s="7">
        <f t="shared" si="8"/>
        <v>50000</v>
      </c>
      <c r="P12" s="7">
        <f t="shared" si="8"/>
        <v>50000</v>
      </c>
      <c r="Q12" s="7">
        <f t="shared" si="8"/>
        <v>50000</v>
      </c>
      <c r="R12" s="7">
        <f t="shared" si="8"/>
        <v>50000</v>
      </c>
      <c r="S12" s="7">
        <f t="shared" si="3"/>
        <v>55000.000000000007</v>
      </c>
      <c r="T12" s="7">
        <f t="shared" ref="T12:AD12" si="9">S12</f>
        <v>55000.000000000007</v>
      </c>
      <c r="U12" s="7">
        <f t="shared" si="9"/>
        <v>55000.000000000007</v>
      </c>
      <c r="V12" s="7">
        <f t="shared" si="9"/>
        <v>55000.000000000007</v>
      </c>
      <c r="W12" s="7">
        <f t="shared" si="9"/>
        <v>55000.000000000007</v>
      </c>
      <c r="X12" s="7">
        <f t="shared" si="9"/>
        <v>55000.000000000007</v>
      </c>
      <c r="Y12" s="7">
        <f t="shared" si="9"/>
        <v>55000.000000000007</v>
      </c>
      <c r="Z12" s="7">
        <f t="shared" si="9"/>
        <v>55000.000000000007</v>
      </c>
      <c r="AA12" s="7">
        <f t="shared" si="9"/>
        <v>55000.000000000007</v>
      </c>
      <c r="AB12" s="7">
        <f t="shared" si="9"/>
        <v>55000.000000000007</v>
      </c>
      <c r="AC12" s="7">
        <f t="shared" si="9"/>
        <v>55000.000000000007</v>
      </c>
      <c r="AD12" s="7">
        <f t="shared" si="9"/>
        <v>55000.000000000007</v>
      </c>
      <c r="AE12" s="7">
        <f t="shared" si="5"/>
        <v>60500.000000000015</v>
      </c>
      <c r="AF12" s="7">
        <f t="shared" ref="AF12:AP13" si="10">AE12</f>
        <v>60500.000000000015</v>
      </c>
      <c r="AG12" s="7">
        <f t="shared" si="10"/>
        <v>60500.000000000015</v>
      </c>
      <c r="AH12" s="7">
        <f t="shared" si="10"/>
        <v>60500.000000000015</v>
      </c>
      <c r="AI12" s="7">
        <f t="shared" si="10"/>
        <v>60500.000000000015</v>
      </c>
      <c r="AJ12" s="7">
        <f t="shared" si="10"/>
        <v>60500.000000000015</v>
      </c>
      <c r="AK12" s="7">
        <f t="shared" si="10"/>
        <v>60500.000000000015</v>
      </c>
      <c r="AL12" s="7">
        <f t="shared" si="10"/>
        <v>60500.000000000015</v>
      </c>
      <c r="AM12" s="7">
        <f t="shared" si="10"/>
        <v>60500.000000000015</v>
      </c>
      <c r="AN12" s="7">
        <f t="shared" si="10"/>
        <v>60500.000000000015</v>
      </c>
      <c r="AO12" s="7">
        <f t="shared" si="10"/>
        <v>60500.000000000015</v>
      </c>
      <c r="AP12" s="7">
        <f t="shared" si="10"/>
        <v>60500.000000000015</v>
      </c>
      <c r="AQ12" s="7"/>
      <c r="AR12" s="99">
        <f>65000*12</f>
        <v>780000</v>
      </c>
      <c r="AS12" s="97" t="s">
        <v>210</v>
      </c>
      <c r="AT12" s="7"/>
      <c r="AU12" s="7">
        <f t="shared" si="0"/>
        <v>780000</v>
      </c>
      <c r="AV12" s="7">
        <f t="shared" si="7"/>
        <v>858000.00000000012</v>
      </c>
      <c r="AW12" s="7"/>
    </row>
    <row r="13" spans="1:49" ht="14.45">
      <c r="A13" s="12" t="s">
        <v>212</v>
      </c>
      <c r="B13" s="3" t="s">
        <v>159</v>
      </c>
      <c r="D13" s="99">
        <v>15000</v>
      </c>
      <c r="E13" s="97"/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f>D13</f>
        <v>15000</v>
      </c>
      <c r="AF13" s="7">
        <f>AE13</f>
        <v>15000</v>
      </c>
      <c r="AG13" s="7">
        <f t="shared" si="10"/>
        <v>15000</v>
      </c>
      <c r="AH13" s="7">
        <f t="shared" si="10"/>
        <v>15000</v>
      </c>
      <c r="AI13" s="7">
        <f t="shared" si="10"/>
        <v>15000</v>
      </c>
      <c r="AJ13" s="7">
        <f t="shared" si="10"/>
        <v>15000</v>
      </c>
      <c r="AK13" s="7">
        <f t="shared" si="10"/>
        <v>15000</v>
      </c>
      <c r="AL13" s="7">
        <f t="shared" si="10"/>
        <v>15000</v>
      </c>
      <c r="AM13" s="7">
        <f>AL13</f>
        <v>15000</v>
      </c>
      <c r="AN13" s="7">
        <f t="shared" ref="AN13" si="11">AM13</f>
        <v>15000</v>
      </c>
      <c r="AO13" s="7">
        <f t="shared" ref="AO13" si="12">AN13</f>
        <v>15000</v>
      </c>
      <c r="AP13" s="7">
        <f t="shared" ref="AP13" si="13">AO13</f>
        <v>15000</v>
      </c>
      <c r="AQ13" s="7"/>
      <c r="AR13" s="99">
        <f>20000*12</f>
        <v>240000</v>
      </c>
      <c r="AS13" s="97"/>
      <c r="AT13" s="7"/>
      <c r="AU13" s="7">
        <f t="shared" si="0"/>
        <v>240000</v>
      </c>
      <c r="AV13" s="7">
        <f>AU13*1.1</f>
        <v>264000</v>
      </c>
      <c r="AW13" s="7"/>
    </row>
    <row r="14" spans="1:49" ht="14.45">
      <c r="A14" s="59" t="s">
        <v>213</v>
      </c>
      <c r="B14" s="3" t="s">
        <v>159</v>
      </c>
      <c r="D14" s="99" t="s">
        <v>214</v>
      </c>
      <c r="E14" s="97" t="s">
        <v>208</v>
      </c>
      <c r="G14" s="7">
        <f>(Manpower!G47-Manpower!G41)*4500</f>
        <v>94500</v>
      </c>
      <c r="H14" s="7">
        <f>(Manpower!H47-Manpower!H41)*4500</f>
        <v>94500</v>
      </c>
      <c r="I14" s="7">
        <f>(Manpower!I47-Manpower!I41)*4500</f>
        <v>94500</v>
      </c>
      <c r="J14" s="7">
        <f>(Manpower!J47-Manpower!J41)*4500</f>
        <v>132750</v>
      </c>
      <c r="K14" s="7">
        <f>(Manpower!K47-Manpower!K41)*4500</f>
        <v>132750</v>
      </c>
      <c r="L14" s="7">
        <f>(Manpower!L47-Manpower!L41)*4500</f>
        <v>154499.99999999997</v>
      </c>
      <c r="M14" s="7">
        <f>(Manpower!M47-Manpower!M41)*4500</f>
        <v>158999.99999999997</v>
      </c>
      <c r="N14" s="7">
        <f>(Manpower!N47-Manpower!N41)*4500</f>
        <v>194250.00000000003</v>
      </c>
      <c r="O14" s="7">
        <f>(Manpower!O47-Manpower!O41)*4500</f>
        <v>194250.00000000003</v>
      </c>
      <c r="P14" s="7">
        <f>(Manpower!P47-Manpower!P41)*4500</f>
        <v>194250.00000000003</v>
      </c>
      <c r="Q14" s="7">
        <f>(Manpower!Q47-Manpower!Q41)*4500</f>
        <v>194250.00000000003</v>
      </c>
      <c r="R14" s="7">
        <f>(Manpower!R47-Manpower!R41)*4500</f>
        <v>194250.00000000003</v>
      </c>
      <c r="S14" s="7">
        <f>(Manpower!S47-Manpower!S41)*4500*1.15</f>
        <v>175950</v>
      </c>
      <c r="T14" s="7">
        <f>(Manpower!T47-Manpower!T41)*4500*1.15</f>
        <v>175950</v>
      </c>
      <c r="U14" s="7">
        <f>(Manpower!U47-Manpower!U41)*4500*1.15</f>
        <v>191474.99999999997</v>
      </c>
      <c r="V14" s="7">
        <f>(Manpower!V47-Manpower!V41)*4500*1.15</f>
        <v>175950</v>
      </c>
      <c r="W14" s="7">
        <f>(Manpower!W47-Manpower!W41)*4500*1.15</f>
        <v>175950</v>
      </c>
      <c r="X14" s="7">
        <f>(Manpower!X47-Manpower!X41)*4500*1.15</f>
        <v>165600</v>
      </c>
      <c r="Y14" s="7">
        <f>(Manpower!Y47-Manpower!Y41)*4500*1.15</f>
        <v>175950</v>
      </c>
      <c r="Z14" s="7">
        <f>(Manpower!Z47-Manpower!Z41)*4500*1.15</f>
        <v>175950</v>
      </c>
      <c r="AA14" s="7">
        <f>(Manpower!AA47-Manpower!AA41)*4500*1.15</f>
        <v>175950</v>
      </c>
      <c r="AB14" s="7">
        <f>(Manpower!AB47-Manpower!AB41)*4500*1.15</f>
        <v>191474.99999999997</v>
      </c>
      <c r="AC14" s="7">
        <f>(Manpower!AC47-Manpower!AC41)*4500*1.15</f>
        <v>201824.99999999997</v>
      </c>
      <c r="AD14" s="7">
        <f>(Manpower!AD47-Manpower!AD41)*4500*1.15</f>
        <v>201824.99999999997</v>
      </c>
      <c r="AE14" s="7">
        <f>(Manpower!AE47-Manpower!AE41)*4500*1.15*1.15</f>
        <v>238049.99999999994</v>
      </c>
      <c r="AF14" s="7">
        <f>(Manpower!AF47-Manpower!AF41)*4500*1.15*1.15</f>
        <v>238049.99999999994</v>
      </c>
      <c r="AG14" s="7">
        <f>(Manpower!AG47-Manpower!AG41)*4500*1.15*1.15</f>
        <v>238049.99999999994</v>
      </c>
      <c r="AH14" s="7">
        <f>(Manpower!AH47-Manpower!AH41)*4500*1.15*1.15</f>
        <v>238049.99999999994</v>
      </c>
      <c r="AI14" s="7">
        <f>(Manpower!AI47-Manpower!AI41)*4500*1.15*1.15</f>
        <v>238049.99999999994</v>
      </c>
      <c r="AJ14" s="7">
        <f>(Manpower!AJ47-Manpower!AJ41)*4500*1.15*1.15</f>
        <v>238049.99999999994</v>
      </c>
      <c r="AK14" s="7">
        <f>(Manpower!AK47-Manpower!AK41)*4500*1.15*1.15</f>
        <v>238049.99999999994</v>
      </c>
      <c r="AL14" s="7">
        <f>(Manpower!AL47-Manpower!AL41)*4500*1.15*1.15</f>
        <v>238049.99999999994</v>
      </c>
      <c r="AM14" s="7">
        <f>(Manpower!AM47-Manpower!AM41)*4500*1.15*1.15</f>
        <v>255903.74999999994</v>
      </c>
      <c r="AN14" s="7">
        <f>(Manpower!AN47-Manpower!AN41)*4500*1.15*1.15</f>
        <v>238049.99999999994</v>
      </c>
      <c r="AO14" s="7">
        <f>(Manpower!AO47-Manpower!AO41)*4500*1.15*1.15</f>
        <v>238049.99999999994</v>
      </c>
      <c r="AP14" s="7">
        <f>(Manpower!AP47-Manpower!AP41)*4500*1.15*1.15</f>
        <v>238049.99999999994</v>
      </c>
      <c r="AQ14" s="7"/>
      <c r="AR14" s="99" t="s">
        <v>215</v>
      </c>
      <c r="AS14" s="97" t="s">
        <v>208</v>
      </c>
      <c r="AT14" s="7"/>
      <c r="AU14" s="7">
        <f>(Manpower!AU47-Manpower!AU41)*6844*12</f>
        <v>4886616</v>
      </c>
      <c r="AV14" s="7">
        <f>(Manpower!AV47-Manpower!AV41)*7871*12</f>
        <v>6564414</v>
      </c>
      <c r="AW14" s="7"/>
    </row>
    <row r="15" spans="1:49" ht="14.45">
      <c r="A15" s="12" t="s">
        <v>216</v>
      </c>
      <c r="B15" s="3" t="s">
        <v>159</v>
      </c>
      <c r="D15" s="100">
        <v>600</v>
      </c>
      <c r="E15" s="97" t="s">
        <v>217</v>
      </c>
      <c r="G15" s="7">
        <f>$D$15*(Manpower!G47-Manpower!G41)</f>
        <v>12600</v>
      </c>
      <c r="H15" s="7">
        <f>$D$15*(Manpower!H47-Manpower!H41)</f>
        <v>12600</v>
      </c>
      <c r="I15" s="7">
        <f>$D$15*(Manpower!I47-Manpower!I41)</f>
        <v>12600</v>
      </c>
      <c r="J15" s="7">
        <f>$D$15*(Manpower!J47-Manpower!J41)</f>
        <v>17700</v>
      </c>
      <c r="K15" s="7">
        <f>$D$15*(Manpower!K47-Manpower!K41)</f>
        <v>17700</v>
      </c>
      <c r="L15" s="7">
        <f>$D$15*(Manpower!L47-Manpower!L41)</f>
        <v>20599.999999999996</v>
      </c>
      <c r="M15" s="7">
        <f>$D$15*(Manpower!M47-Manpower!M41)</f>
        <v>21199.999999999996</v>
      </c>
      <c r="N15" s="7">
        <f>$D$15*(Manpower!N47-Manpower!N41)</f>
        <v>25900.000000000004</v>
      </c>
      <c r="O15" s="7">
        <f>$D$15*(Manpower!O47-Manpower!O41)</f>
        <v>25900.000000000004</v>
      </c>
      <c r="P15" s="7">
        <f>$D$15*(Manpower!P47-Manpower!P41)</f>
        <v>25900.000000000004</v>
      </c>
      <c r="Q15" s="7">
        <f>$D$15*(Manpower!Q47-Manpower!Q41)</f>
        <v>25900.000000000004</v>
      </c>
      <c r="R15" s="7">
        <f>$D$15*(Manpower!R47-Manpower!R41)</f>
        <v>25900.000000000004</v>
      </c>
      <c r="S15" s="7">
        <f>$D$15*(Manpower!S47-Manpower!S41)</f>
        <v>20400</v>
      </c>
      <c r="T15" s="7">
        <f>$D$15*(Manpower!T47-Manpower!T41)</f>
        <v>20400</v>
      </c>
      <c r="U15" s="7">
        <f>$D$15*(Manpower!U47-Manpower!U41)</f>
        <v>22200</v>
      </c>
      <c r="V15" s="7">
        <f>$D$15*(Manpower!V47-Manpower!V41)</f>
        <v>20400</v>
      </c>
      <c r="W15" s="7">
        <f>$D$15*(Manpower!W47-Manpower!W41)</f>
        <v>20400</v>
      </c>
      <c r="X15" s="7">
        <f>$D$15*(Manpower!X47-Manpower!X41)</f>
        <v>19200</v>
      </c>
      <c r="Y15" s="7">
        <f>$D$15*(Manpower!Y47-Manpower!Y41)</f>
        <v>20400</v>
      </c>
      <c r="Z15" s="7">
        <f>$D$15*(Manpower!Z47-Manpower!Z41)</f>
        <v>20400</v>
      </c>
      <c r="AA15" s="7">
        <f>$D$15*(Manpower!AA47-Manpower!AA41)</f>
        <v>20400</v>
      </c>
      <c r="AB15" s="7">
        <f>$D$15*(Manpower!AB47-Manpower!AB41)</f>
        <v>22200</v>
      </c>
      <c r="AC15" s="7">
        <f>$D$15*(Manpower!AC47-Manpower!AC41)</f>
        <v>23400</v>
      </c>
      <c r="AD15" s="7">
        <f>$D$15*(Manpower!AD47-Manpower!AD41)</f>
        <v>23400</v>
      </c>
      <c r="AE15" s="7">
        <f>$D$15*(Manpower!AE47-Manpower!AE41)</f>
        <v>24000</v>
      </c>
      <c r="AF15" s="7">
        <f>$D$15*(Manpower!AF47-Manpower!AF41)</f>
        <v>24000</v>
      </c>
      <c r="AG15" s="7">
        <f>$D$15*(Manpower!AG47-Manpower!AG41)</f>
        <v>24000</v>
      </c>
      <c r="AH15" s="7">
        <f>$D$15*(Manpower!AH47-Manpower!AH41)</f>
        <v>24000</v>
      </c>
      <c r="AI15" s="7">
        <f>$D$15*(Manpower!AI47-Manpower!AI41)</f>
        <v>24000</v>
      </c>
      <c r="AJ15" s="7">
        <f>$D$15*(Manpower!AJ47-Manpower!AJ41)</f>
        <v>24000</v>
      </c>
      <c r="AK15" s="7">
        <f>$D$15*(Manpower!AK47-Manpower!AK41)</f>
        <v>24000</v>
      </c>
      <c r="AL15" s="7">
        <f>$D$15*(Manpower!AL47-Manpower!AL41)</f>
        <v>24000</v>
      </c>
      <c r="AM15" s="7">
        <f>$D$15*(Manpower!AM47-Manpower!AM41)</f>
        <v>25800</v>
      </c>
      <c r="AN15" s="7">
        <f>$D$15*(Manpower!AN47-Manpower!AN41)</f>
        <v>24000</v>
      </c>
      <c r="AO15" s="7">
        <f>$D$15*(Manpower!AO47-Manpower!AO41)</f>
        <v>24000</v>
      </c>
      <c r="AP15" s="7">
        <f>$D$15*(Manpower!AP47-Manpower!AP41)</f>
        <v>24000</v>
      </c>
      <c r="AQ15" s="7"/>
      <c r="AR15" s="100">
        <v>800</v>
      </c>
      <c r="AS15" s="97" t="s">
        <v>217</v>
      </c>
      <c r="AT15" s="7"/>
      <c r="AU15" s="7">
        <f>$AR$15*(Manpower!AU47-Manpower!AU41)</f>
        <v>47600</v>
      </c>
      <c r="AV15" s="7">
        <f>$AR$15*(Manpower!AV47-Manpower!AV41)</f>
        <v>55600</v>
      </c>
      <c r="AW15" s="7"/>
    </row>
    <row r="16" spans="1:49" ht="14.45">
      <c r="A16" s="59" t="s">
        <v>218</v>
      </c>
      <c r="B16" s="3" t="s">
        <v>159</v>
      </c>
      <c r="D16" s="100">
        <v>100000</v>
      </c>
      <c r="E16" s="97" t="s">
        <v>210</v>
      </c>
      <c r="G16" s="7">
        <f>D16</f>
        <v>100000</v>
      </c>
      <c r="H16" s="7">
        <f>G16</f>
        <v>100000</v>
      </c>
      <c r="I16" s="7">
        <f t="shared" ref="I16:R16" si="14">H16</f>
        <v>100000</v>
      </c>
      <c r="J16" s="7">
        <f t="shared" si="14"/>
        <v>100000</v>
      </c>
      <c r="K16" s="7">
        <f t="shared" si="14"/>
        <v>100000</v>
      </c>
      <c r="L16" s="7">
        <f t="shared" si="14"/>
        <v>100000</v>
      </c>
      <c r="M16" s="7">
        <f>L16</f>
        <v>100000</v>
      </c>
      <c r="N16" s="7">
        <f t="shared" si="14"/>
        <v>100000</v>
      </c>
      <c r="O16" s="7">
        <f t="shared" si="14"/>
        <v>100000</v>
      </c>
      <c r="P16" s="7">
        <f>O16</f>
        <v>100000</v>
      </c>
      <c r="Q16" s="7">
        <f t="shared" si="14"/>
        <v>100000</v>
      </c>
      <c r="R16" s="7">
        <f t="shared" si="14"/>
        <v>100000</v>
      </c>
      <c r="S16" s="7">
        <f>R16*1.1</f>
        <v>110000.00000000001</v>
      </c>
      <c r="T16" s="7">
        <f t="shared" ref="T16:AD16" si="15">S16</f>
        <v>110000.00000000001</v>
      </c>
      <c r="U16" s="7">
        <f t="shared" si="15"/>
        <v>110000.00000000001</v>
      </c>
      <c r="V16" s="7">
        <f t="shared" si="15"/>
        <v>110000.00000000001</v>
      </c>
      <c r="W16" s="7">
        <f t="shared" si="15"/>
        <v>110000.00000000001</v>
      </c>
      <c r="X16" s="7">
        <f t="shared" si="15"/>
        <v>110000.00000000001</v>
      </c>
      <c r="Y16" s="7">
        <f t="shared" si="15"/>
        <v>110000.00000000001</v>
      </c>
      <c r="Z16" s="7">
        <f t="shared" si="15"/>
        <v>110000.00000000001</v>
      </c>
      <c r="AA16" s="7">
        <f t="shared" si="15"/>
        <v>110000.00000000001</v>
      </c>
      <c r="AB16" s="7">
        <f t="shared" si="15"/>
        <v>110000.00000000001</v>
      </c>
      <c r="AC16" s="7">
        <f t="shared" si="15"/>
        <v>110000.00000000001</v>
      </c>
      <c r="AD16" s="7">
        <f t="shared" si="15"/>
        <v>110000.00000000001</v>
      </c>
      <c r="AE16" s="7">
        <f>AD16*1.1</f>
        <v>121000.00000000003</v>
      </c>
      <c r="AF16" s="7">
        <f t="shared" ref="AF16:AP16" si="16">AE16</f>
        <v>121000.00000000003</v>
      </c>
      <c r="AG16" s="7">
        <f t="shared" si="16"/>
        <v>121000.00000000003</v>
      </c>
      <c r="AH16" s="7">
        <f t="shared" si="16"/>
        <v>121000.00000000003</v>
      </c>
      <c r="AI16" s="7">
        <f t="shared" si="16"/>
        <v>121000.00000000003</v>
      </c>
      <c r="AJ16" s="7">
        <f t="shared" si="16"/>
        <v>121000.00000000003</v>
      </c>
      <c r="AK16" s="7">
        <f t="shared" si="16"/>
        <v>121000.00000000003</v>
      </c>
      <c r="AL16" s="7">
        <f t="shared" si="16"/>
        <v>121000.00000000003</v>
      </c>
      <c r="AM16" s="7">
        <f t="shared" si="16"/>
        <v>121000.00000000003</v>
      </c>
      <c r="AN16" s="7">
        <f t="shared" si="16"/>
        <v>121000.00000000003</v>
      </c>
      <c r="AO16" s="7">
        <f t="shared" si="16"/>
        <v>121000.00000000003</v>
      </c>
      <c r="AP16" s="7">
        <f t="shared" si="16"/>
        <v>121000.00000000003</v>
      </c>
      <c r="AQ16" s="7"/>
      <c r="AR16" s="100">
        <f>120000*12</f>
        <v>1440000</v>
      </c>
      <c r="AS16" s="97" t="s">
        <v>210</v>
      </c>
      <c r="AT16" s="7"/>
      <c r="AU16" s="7">
        <f>AR16</f>
        <v>1440000</v>
      </c>
      <c r="AV16" s="7">
        <f>AU16*1.1</f>
        <v>1584000.0000000002</v>
      </c>
      <c r="AW16" s="7"/>
    </row>
    <row r="17" spans="1:49" ht="14.45">
      <c r="A17" s="12" t="s">
        <v>219</v>
      </c>
      <c r="B17" s="3" t="s">
        <v>159</v>
      </c>
      <c r="D17" s="96">
        <v>5.0000000000000001E-4</v>
      </c>
      <c r="E17" s="97" t="s">
        <v>205</v>
      </c>
      <c r="G17" s="7">
        <f>$D17*'Revenue Buildup'!E$32</f>
        <v>750</v>
      </c>
      <c r="H17" s="7">
        <f>$D17*'Revenue Buildup'!F$32</f>
        <v>774.5</v>
      </c>
      <c r="I17" s="7">
        <f>$D17*'Revenue Buildup'!G$32</f>
        <v>792</v>
      </c>
      <c r="J17" s="7">
        <f>$D17*'Revenue Buildup'!H$32</f>
        <v>911.25</v>
      </c>
      <c r="K17" s="7">
        <f>$D17*'Revenue Buildup'!I$32</f>
        <v>1682.25</v>
      </c>
      <c r="L17" s="7">
        <f>$D17*'Revenue Buildup'!J$32</f>
        <v>955</v>
      </c>
      <c r="M17" s="7">
        <f>$D17*'Revenue Buildup'!K$32</f>
        <v>1833</v>
      </c>
      <c r="N17" s="7">
        <f>$D17*'Revenue Buildup'!L$32</f>
        <v>1868.5</v>
      </c>
      <c r="O17" s="7">
        <f>$D17*'Revenue Buildup'!M$32</f>
        <v>1154.3</v>
      </c>
      <c r="P17" s="7">
        <f>$D17*'Revenue Buildup'!N$32</f>
        <v>2049.0100000000002</v>
      </c>
      <c r="Q17" s="7">
        <f>$D17*'Revenue Buildup'!O$32</f>
        <v>2097.4120000000003</v>
      </c>
      <c r="R17" s="7">
        <f>$D17*'Revenue Buildup'!P$32</f>
        <v>2149.5443999999998</v>
      </c>
      <c r="S17" s="7">
        <f>$D17*'Revenue Buildup'!Q$32</f>
        <v>2253.2509440000003</v>
      </c>
      <c r="T17" s="7">
        <f>$D17*'Revenue Buildup'!R$32</f>
        <v>3118.1786327999998</v>
      </c>
      <c r="U17" s="7">
        <f>$D17*'Revenue Buildup'!S$32</f>
        <v>1628.37435936</v>
      </c>
      <c r="V17" s="7">
        <f>$D17*'Revenue Buildup'!T$32</f>
        <v>2623.1092312320002</v>
      </c>
      <c r="W17" s="7">
        <f>$D17*'Revenue Buildup'!U$32</f>
        <v>2738.8085774783999</v>
      </c>
      <c r="X17" s="7">
        <f>$D17*'Revenue Buildup'!V$32</f>
        <v>2866.25529297408</v>
      </c>
      <c r="Y17" s="7">
        <f>$D17*'Revenue Buildup'!W$32</f>
        <v>3123.456351568896</v>
      </c>
      <c r="Z17" s="7">
        <f>$D17*'Revenue Buildup'!X$32</f>
        <v>3298.7476218826755</v>
      </c>
      <c r="AA17" s="7">
        <f>$D17*'Revenue Buildup'!Y$32</f>
        <v>4279.3246462592106</v>
      </c>
      <c r="AB17" s="7">
        <f>$D17*'Revenue Buildup'!Z$32</f>
        <v>4722.4870755110524</v>
      </c>
      <c r="AC17" s="7">
        <f>$D17*'Revenue Buildup'!AA$32</f>
        <v>4197.5094906132636</v>
      </c>
      <c r="AD17" s="7">
        <f>$D17*'Revenue Buildup'!AB$32</f>
        <v>5275.4138887359159</v>
      </c>
      <c r="AE17" s="7">
        <f>$D17*'Revenue Buildup'!AC$32</f>
        <v>5683.3813748072535</v>
      </c>
      <c r="AF17" s="7">
        <f>$D17*'Revenue Buildup'!AD$32</f>
        <v>5271.596399768704</v>
      </c>
      <c r="AG17" s="7">
        <f>$D17*'Revenue Buildup'!AE$32</f>
        <v>6565.7094297224448</v>
      </c>
      <c r="AH17" s="7">
        <f>$D17*'Revenue Buildup'!AF$32</f>
        <v>7316.0250656669341</v>
      </c>
      <c r="AI17" s="7">
        <f>$D17*'Revenue Buildup'!AG$32</f>
        <v>7117.2113288003211</v>
      </c>
      <c r="AJ17" s="7">
        <f>$D17*'Revenue Buildup'!AH$32</f>
        <v>8669.5909695603841</v>
      </c>
      <c r="AK17" s="7">
        <f>$D17*'Revenue Buildup'!AI$32</f>
        <v>9600.2827884724611</v>
      </c>
      <c r="AL17" s="7">
        <f>$D17*'Revenue Buildup'!AJ$32</f>
        <v>10546.225471166954</v>
      </c>
      <c r="AM17" s="7">
        <f>$D17*'Revenue Buildup'!AK$32</f>
        <v>10800.459190400343</v>
      </c>
      <c r="AN17" s="7">
        <f>$D17*'Revenue Buildup'!AL$32</f>
        <v>13159.056153480413</v>
      </c>
      <c r="AO17" s="7">
        <f>$D17*'Revenue Buildup'!AM$32</f>
        <v>14591.292259176496</v>
      </c>
      <c r="AP17" s="7">
        <f>$D17*'Revenue Buildup'!AN$32</f>
        <v>14149.075586011795</v>
      </c>
      <c r="AQ17" s="7"/>
      <c r="AR17" s="96">
        <v>5.0000000000000001E-4</v>
      </c>
      <c r="AS17" s="97" t="s">
        <v>205</v>
      </c>
      <c r="AT17" s="7"/>
      <c r="AU17" s="7">
        <f>$AR17*'Revenue Buildup'!AS$32</f>
        <v>95563.317959857799</v>
      </c>
      <c r="AV17" s="7">
        <f>$AR17*'Revenue Buildup'!AT$32</f>
        <v>229869.38129184462</v>
      </c>
      <c r="AW17" s="7"/>
    </row>
    <row r="18" spans="1:49" ht="14.45">
      <c r="A18" s="12" t="s">
        <v>220</v>
      </c>
      <c r="B18" s="3" t="s">
        <v>159</v>
      </c>
      <c r="D18" s="96">
        <v>5.0000000000000002E-5</v>
      </c>
      <c r="E18" s="97" t="s">
        <v>205</v>
      </c>
      <c r="G18" s="7">
        <f>$D18*'Revenue Buildup'!E$32</f>
        <v>75</v>
      </c>
      <c r="H18" s="7">
        <f>$D18*'Revenue Buildup'!F$32</f>
        <v>77.45</v>
      </c>
      <c r="I18" s="7">
        <f>$D18*'Revenue Buildup'!G$32</f>
        <v>79.2</v>
      </c>
      <c r="J18" s="7">
        <f>$D18*'Revenue Buildup'!H$32</f>
        <v>91.125</v>
      </c>
      <c r="K18" s="7">
        <f>$D18*'Revenue Buildup'!I$32</f>
        <v>168.22499999999999</v>
      </c>
      <c r="L18" s="7">
        <f>$D18*'Revenue Buildup'!J$32</f>
        <v>95.5</v>
      </c>
      <c r="M18" s="7">
        <f>$D18*'Revenue Buildup'!K$32</f>
        <v>183.3</v>
      </c>
      <c r="N18" s="7">
        <f>$D18*'Revenue Buildup'!L$32</f>
        <v>186.85000000000002</v>
      </c>
      <c r="O18" s="7">
        <f>$D18*'Revenue Buildup'!M$32</f>
        <v>115.43</v>
      </c>
      <c r="P18" s="7">
        <f>$D18*'Revenue Buildup'!N$32</f>
        <v>204.90100000000001</v>
      </c>
      <c r="Q18" s="7">
        <f>$D18*'Revenue Buildup'!O$32</f>
        <v>209.74120000000002</v>
      </c>
      <c r="R18" s="7">
        <f>$D18*'Revenue Buildup'!P$32</f>
        <v>214.95444000000001</v>
      </c>
      <c r="S18" s="7">
        <f>$D18*'Revenue Buildup'!Q$32</f>
        <v>225.32509440000001</v>
      </c>
      <c r="T18" s="7">
        <f>$D18*'Revenue Buildup'!R$32</f>
        <v>311.81786327999998</v>
      </c>
      <c r="U18" s="7">
        <f>$D18*'Revenue Buildup'!S$32</f>
        <v>162.83743593599999</v>
      </c>
      <c r="V18" s="7">
        <f>$D18*'Revenue Buildup'!T$32</f>
        <v>262.31092312320004</v>
      </c>
      <c r="W18" s="7">
        <f>$D18*'Revenue Buildup'!U$32</f>
        <v>273.88085774784003</v>
      </c>
      <c r="X18" s="7">
        <f>$D18*'Revenue Buildup'!V$32</f>
        <v>286.62552929740804</v>
      </c>
      <c r="Y18" s="7">
        <f>$D18*'Revenue Buildup'!W$32</f>
        <v>312.34563515688961</v>
      </c>
      <c r="Z18" s="7">
        <f>$D18*'Revenue Buildup'!X$32</f>
        <v>329.87476218826754</v>
      </c>
      <c r="AA18" s="7">
        <f>$D18*'Revenue Buildup'!Y$32</f>
        <v>427.932464625921</v>
      </c>
      <c r="AB18" s="7">
        <f>$D18*'Revenue Buildup'!Z$32</f>
        <v>472.24870755110527</v>
      </c>
      <c r="AC18" s="7">
        <f>$D18*'Revenue Buildup'!AA$32</f>
        <v>419.75094906132631</v>
      </c>
      <c r="AD18" s="7">
        <f>$D18*'Revenue Buildup'!AB$32</f>
        <v>527.54138887359159</v>
      </c>
      <c r="AE18" s="7">
        <f>$D18*'Revenue Buildup'!AC$32</f>
        <v>568.33813748072532</v>
      </c>
      <c r="AF18" s="7">
        <f>$D18*'Revenue Buildup'!AD$32</f>
        <v>527.15963997687038</v>
      </c>
      <c r="AG18" s="7">
        <f>$D18*'Revenue Buildup'!AE$32</f>
        <v>656.57094297224455</v>
      </c>
      <c r="AH18" s="7">
        <f>$D18*'Revenue Buildup'!AF$32</f>
        <v>731.60250656669336</v>
      </c>
      <c r="AI18" s="7">
        <f>$D18*'Revenue Buildup'!AG$32</f>
        <v>711.72113288003209</v>
      </c>
      <c r="AJ18" s="7">
        <f>$D18*'Revenue Buildup'!AH$32</f>
        <v>866.95909695603848</v>
      </c>
      <c r="AK18" s="7">
        <f>$D18*'Revenue Buildup'!AI$32</f>
        <v>960.02827884724616</v>
      </c>
      <c r="AL18" s="7">
        <f>$D18*'Revenue Buildup'!AJ$32</f>
        <v>1054.6225471166954</v>
      </c>
      <c r="AM18" s="7">
        <f>$D18*'Revenue Buildup'!AK$32</f>
        <v>1080.0459190400343</v>
      </c>
      <c r="AN18" s="7">
        <f>$D18*'Revenue Buildup'!AL$32</f>
        <v>1315.9056153480412</v>
      </c>
      <c r="AO18" s="7">
        <f>$D18*'Revenue Buildup'!AM$32</f>
        <v>1459.1292259176498</v>
      </c>
      <c r="AP18" s="7">
        <f>$D18*'Revenue Buildup'!AN$32</f>
        <v>1414.9075586011795</v>
      </c>
      <c r="AQ18" s="7"/>
      <c r="AR18" s="96">
        <v>5.0000000000000002E-5</v>
      </c>
      <c r="AS18" s="97" t="s">
        <v>205</v>
      </c>
      <c r="AT18" s="7"/>
      <c r="AU18" s="7">
        <f>$AR18*'Revenue Buildup'!AS$32</f>
        <v>9556.3317959857795</v>
      </c>
      <c r="AV18" s="7">
        <f>$AR18*'Revenue Buildup'!AT$32</f>
        <v>22986.938129184462</v>
      </c>
      <c r="AW18" s="7"/>
    </row>
    <row r="19" spans="1:49" ht="29.1">
      <c r="A19" s="59" t="s">
        <v>221</v>
      </c>
      <c r="B19" s="3" t="s">
        <v>159</v>
      </c>
      <c r="D19" s="100">
        <v>300000</v>
      </c>
      <c r="E19" s="97" t="s">
        <v>208</v>
      </c>
      <c r="G19" s="7">
        <f>D19</f>
        <v>300000</v>
      </c>
      <c r="H19" s="7">
        <f t="shared" ref="H19:R19" si="17">G19</f>
        <v>300000</v>
      </c>
      <c r="I19" s="7">
        <f t="shared" si="17"/>
        <v>300000</v>
      </c>
      <c r="J19" s="7">
        <f t="shared" si="17"/>
        <v>300000</v>
      </c>
      <c r="K19" s="7">
        <f t="shared" si="17"/>
        <v>300000</v>
      </c>
      <c r="L19" s="7">
        <f t="shared" si="17"/>
        <v>300000</v>
      </c>
      <c r="M19" s="7">
        <f t="shared" si="17"/>
        <v>300000</v>
      </c>
      <c r="N19" s="7">
        <f t="shared" si="17"/>
        <v>300000</v>
      </c>
      <c r="O19" s="7">
        <f t="shared" si="17"/>
        <v>300000</v>
      </c>
      <c r="P19" s="7">
        <f t="shared" si="17"/>
        <v>300000</v>
      </c>
      <c r="Q19" s="7">
        <f t="shared" si="17"/>
        <v>300000</v>
      </c>
      <c r="R19" s="7">
        <f t="shared" si="17"/>
        <v>300000</v>
      </c>
      <c r="S19" s="7">
        <f>R19*1.15</f>
        <v>345000</v>
      </c>
      <c r="T19" s="7">
        <f t="shared" ref="T19:AD19" si="18">S19</f>
        <v>345000</v>
      </c>
      <c r="U19" s="7">
        <f t="shared" si="18"/>
        <v>345000</v>
      </c>
      <c r="V19" s="7">
        <f t="shared" si="18"/>
        <v>345000</v>
      </c>
      <c r="W19" s="7">
        <f t="shared" si="18"/>
        <v>345000</v>
      </c>
      <c r="X19" s="7">
        <f t="shared" si="18"/>
        <v>345000</v>
      </c>
      <c r="Y19" s="7">
        <f t="shared" si="18"/>
        <v>345000</v>
      </c>
      <c r="Z19" s="7">
        <f t="shared" si="18"/>
        <v>345000</v>
      </c>
      <c r="AA19" s="7">
        <f t="shared" si="18"/>
        <v>345000</v>
      </c>
      <c r="AB19" s="7">
        <f t="shared" si="18"/>
        <v>345000</v>
      </c>
      <c r="AC19" s="7">
        <f t="shared" si="18"/>
        <v>345000</v>
      </c>
      <c r="AD19" s="7">
        <f t="shared" si="18"/>
        <v>345000</v>
      </c>
      <c r="AE19" s="7">
        <f>AD19*1.15</f>
        <v>396749.99999999994</v>
      </c>
      <c r="AF19" s="7">
        <f t="shared" ref="AF19:AP19" si="19">AE19</f>
        <v>396749.99999999994</v>
      </c>
      <c r="AG19" s="7">
        <f t="shared" si="19"/>
        <v>396749.99999999994</v>
      </c>
      <c r="AH19" s="7">
        <f t="shared" si="19"/>
        <v>396749.99999999994</v>
      </c>
      <c r="AI19" s="7">
        <f t="shared" si="19"/>
        <v>396749.99999999994</v>
      </c>
      <c r="AJ19" s="7">
        <f t="shared" si="19"/>
        <v>396749.99999999994</v>
      </c>
      <c r="AK19" s="7">
        <f t="shared" si="19"/>
        <v>396749.99999999994</v>
      </c>
      <c r="AL19" s="7">
        <f t="shared" si="19"/>
        <v>396749.99999999994</v>
      </c>
      <c r="AM19" s="7">
        <f t="shared" si="19"/>
        <v>396749.99999999994</v>
      </c>
      <c r="AN19" s="7">
        <f t="shared" si="19"/>
        <v>396749.99999999994</v>
      </c>
      <c r="AO19" s="7">
        <f t="shared" si="19"/>
        <v>396749.99999999994</v>
      </c>
      <c r="AP19" s="7">
        <f t="shared" si="19"/>
        <v>396749.99999999994</v>
      </c>
      <c r="AQ19" s="7"/>
      <c r="AR19" s="99">
        <f>400000*12</f>
        <v>4800000</v>
      </c>
      <c r="AS19" s="97" t="s">
        <v>208</v>
      </c>
      <c r="AT19" s="7"/>
      <c r="AU19" s="7">
        <f>AR19</f>
        <v>4800000</v>
      </c>
      <c r="AV19" s="7">
        <f>AU19*1.15</f>
        <v>5520000</v>
      </c>
      <c r="AW19" s="7"/>
    </row>
    <row r="20" spans="1:49" ht="14.45">
      <c r="A20" s="12" t="s">
        <v>222</v>
      </c>
      <c r="B20" s="3" t="s">
        <v>159</v>
      </c>
      <c r="D20" s="96">
        <v>5.0000000000000001E-3</v>
      </c>
      <c r="E20" s="97" t="s">
        <v>205</v>
      </c>
      <c r="G20" s="7">
        <f>$D20*'Revenue Buildup'!E$32</f>
        <v>7500</v>
      </c>
      <c r="H20" s="7">
        <f>$D20*'Revenue Buildup'!F$32</f>
        <v>7745</v>
      </c>
      <c r="I20" s="7">
        <f>$D20*'Revenue Buildup'!G$32</f>
        <v>7920</v>
      </c>
      <c r="J20" s="7">
        <f>$D20*'Revenue Buildup'!H$32</f>
        <v>9112.5</v>
      </c>
      <c r="K20" s="7">
        <f>$D20*'Revenue Buildup'!I$32</f>
        <v>16822.5</v>
      </c>
      <c r="L20" s="7">
        <f>$D20*'Revenue Buildup'!J$32</f>
        <v>9550</v>
      </c>
      <c r="M20" s="7">
        <f>$D20*'Revenue Buildup'!K$32</f>
        <v>18330</v>
      </c>
      <c r="N20" s="7">
        <f>$D20*'Revenue Buildup'!L$32</f>
        <v>18685</v>
      </c>
      <c r="O20" s="7">
        <f>$D20*'Revenue Buildup'!M$32</f>
        <v>11543</v>
      </c>
      <c r="P20" s="7">
        <f>$D20*'Revenue Buildup'!N$32</f>
        <v>20490.100000000002</v>
      </c>
      <c r="Q20" s="7">
        <f>$D20*'Revenue Buildup'!O$32</f>
        <v>20974.12</v>
      </c>
      <c r="R20" s="7">
        <f>$D20*'Revenue Buildup'!P$32</f>
        <v>21495.444</v>
      </c>
      <c r="S20" s="7">
        <f>$D20*'Revenue Buildup'!Q$32</f>
        <v>22532.509440000002</v>
      </c>
      <c r="T20" s="7">
        <f>$D20*'Revenue Buildup'!R$32</f>
        <v>31181.786327999998</v>
      </c>
      <c r="U20" s="7">
        <f>$D20*'Revenue Buildup'!S$32</f>
        <v>16283.743593599998</v>
      </c>
      <c r="V20" s="7">
        <f>$D20*'Revenue Buildup'!T$32</f>
        <v>26231.092312320001</v>
      </c>
      <c r="W20" s="7">
        <f>$D20*'Revenue Buildup'!U$32</f>
        <v>27388.085774784002</v>
      </c>
      <c r="X20" s="7">
        <f>$D20*'Revenue Buildup'!V$32</f>
        <v>28662.552929740799</v>
      </c>
      <c r="Y20" s="7">
        <f>$D20*'Revenue Buildup'!W$32</f>
        <v>31234.563515688958</v>
      </c>
      <c r="Z20" s="7">
        <f>$D20*'Revenue Buildup'!X$32</f>
        <v>32987.476218826756</v>
      </c>
      <c r="AA20" s="7">
        <f>$D20*'Revenue Buildup'!Y$32</f>
        <v>42793.246462592098</v>
      </c>
      <c r="AB20" s="7">
        <f>$D20*'Revenue Buildup'!Z$32</f>
        <v>47224.870755110525</v>
      </c>
      <c r="AC20" s="7">
        <f>$D20*'Revenue Buildup'!AA$32</f>
        <v>41975.094906132632</v>
      </c>
      <c r="AD20" s="7">
        <f>$D20*'Revenue Buildup'!AB$32</f>
        <v>52754.138887359157</v>
      </c>
      <c r="AE20" s="7">
        <f>$D20*'Revenue Buildup'!AC$32</f>
        <v>56833.813748072535</v>
      </c>
      <c r="AF20" s="7">
        <f>$D20*'Revenue Buildup'!AD$32</f>
        <v>52715.963997687038</v>
      </c>
      <c r="AG20" s="7">
        <f>$D20*'Revenue Buildup'!AE$32</f>
        <v>65657.094297224452</v>
      </c>
      <c r="AH20" s="7">
        <f>$D20*'Revenue Buildup'!AF$32</f>
        <v>73160.250656669334</v>
      </c>
      <c r="AI20" s="7">
        <f>$D20*'Revenue Buildup'!AG$32</f>
        <v>71172.113288003209</v>
      </c>
      <c r="AJ20" s="7">
        <f>$D20*'Revenue Buildup'!AH$32</f>
        <v>86695.909695603856</v>
      </c>
      <c r="AK20" s="7">
        <f>$D20*'Revenue Buildup'!AI$32</f>
        <v>96002.827884724611</v>
      </c>
      <c r="AL20" s="7">
        <f>$D20*'Revenue Buildup'!AJ$32</f>
        <v>105462.25471166954</v>
      </c>
      <c r="AM20" s="7">
        <f>$D20*'Revenue Buildup'!AK$32</f>
        <v>108004.59190400344</v>
      </c>
      <c r="AN20" s="7">
        <f>$D20*'Revenue Buildup'!AL$32</f>
        <v>131590.56153480412</v>
      </c>
      <c r="AO20" s="7">
        <f>$D20*'Revenue Buildup'!AM$32</f>
        <v>145912.92259176497</v>
      </c>
      <c r="AP20" s="7">
        <f>$D20*'Revenue Buildup'!AN$32</f>
        <v>141490.75586011796</v>
      </c>
      <c r="AQ20" s="7"/>
      <c r="AR20" s="96">
        <v>5.0000000000000001E-3</v>
      </c>
      <c r="AS20" s="97" t="s">
        <v>205</v>
      </c>
      <c r="AT20" s="7"/>
      <c r="AU20" s="7">
        <f>$AR20*'Revenue Buildup'!AS$32</f>
        <v>955633.1795985779</v>
      </c>
      <c r="AV20" s="7">
        <f>$AR20*'Revenue Buildup'!AT$32</f>
        <v>2298693.812918446</v>
      </c>
      <c r="AW20" s="7"/>
    </row>
    <row r="21" spans="1:49" ht="15.75" customHeight="1">
      <c r="A21" s="22"/>
      <c r="E21" s="2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S21" s="26"/>
      <c r="AT21" s="7"/>
      <c r="AU21" s="7"/>
      <c r="AV21" s="7"/>
      <c r="AW21" s="7"/>
    </row>
    <row r="22" spans="1:49" ht="15.75" customHeight="1">
      <c r="A22" s="62" t="s">
        <v>223</v>
      </c>
      <c r="B22" s="3" t="s">
        <v>224</v>
      </c>
      <c r="D22" s="97" t="s">
        <v>225</v>
      </c>
      <c r="E22" s="97"/>
      <c r="G22" s="7">
        <f>0.1*('Revenue Buildup'!E32-Manpower!G16)</f>
        <v>132000</v>
      </c>
      <c r="H22" s="7">
        <f>0.1*('Revenue Buildup'!F32-Manpower!H16)</f>
        <v>136900</v>
      </c>
      <c r="I22" s="7">
        <f>0.1*('Revenue Buildup'!G32-Manpower!I16)</f>
        <v>140400</v>
      </c>
      <c r="J22" s="7">
        <f>0.1*('Revenue Buildup'!H32-Manpower!J16)</f>
        <v>164250</v>
      </c>
      <c r="K22" s="7">
        <f>0.1*('Revenue Buildup'!I32-Manpower!K16)</f>
        <v>318450</v>
      </c>
      <c r="L22" s="7">
        <f>0.1*('Revenue Buildup'!J32-Manpower!L16)</f>
        <v>173000</v>
      </c>
      <c r="M22" s="7">
        <f>0.1*('Revenue Buildup'!K32-Manpower!M16)</f>
        <v>348600</v>
      </c>
      <c r="N22" s="7">
        <f>0.1*('Revenue Buildup'!L32-Manpower!N16)</f>
        <v>355700</v>
      </c>
      <c r="O22" s="7">
        <f>0.1*('Revenue Buildup'!M32-Manpower!O16)</f>
        <v>212860</v>
      </c>
      <c r="P22" s="7">
        <f>0.1*('Revenue Buildup'!N32-Manpower!P16)</f>
        <v>391802</v>
      </c>
      <c r="Q22" s="7">
        <f>0.1*('Revenue Buildup'!O32-Manpower!Q16)</f>
        <v>401482.4</v>
      </c>
      <c r="R22" s="7">
        <f>0.1*('Revenue Buildup'!P32-Manpower!R16)</f>
        <v>411908.88</v>
      </c>
      <c r="S22" s="7">
        <f>0.1*('Revenue Buildup'!Q32-Manpower!S16)</f>
        <v>430850.18880000006</v>
      </c>
      <c r="T22" s="7">
        <f>0.1*('Revenue Buildup'!R32-Manpower!T16)</f>
        <v>603835.72655999998</v>
      </c>
      <c r="U22" s="7">
        <f>0.1*('Revenue Buildup'!S32-Manpower!U16)</f>
        <v>305874.87187199999</v>
      </c>
      <c r="V22" s="7">
        <f>0.1*('Revenue Buildup'!T32-Manpower!V16)</f>
        <v>504821.84624640003</v>
      </c>
      <c r="W22" s="7">
        <f>0.1*('Revenue Buildup'!U32-Manpower!W16)</f>
        <v>527961.71549567999</v>
      </c>
      <c r="X22" s="7">
        <f>0.1*('Revenue Buildup'!V32-Manpower!X16)</f>
        <v>553451.05859481602</v>
      </c>
      <c r="Y22" s="7">
        <f>0.1*('Revenue Buildup'!W32-Manpower!Y16)</f>
        <v>604891.27031377924</v>
      </c>
      <c r="Z22" s="7">
        <f>0.1*('Revenue Buildup'!X32-Manpower!Z16)</f>
        <v>639949.52437653509</v>
      </c>
      <c r="AA22" s="7">
        <f>0.1*('Revenue Buildup'!Y32-Manpower!AA16)</f>
        <v>836064.92925184208</v>
      </c>
      <c r="AB22" s="7">
        <f>0.1*('Revenue Buildup'!Z32-Manpower!AB16)</f>
        <v>924697.41510221048</v>
      </c>
      <c r="AC22" s="7">
        <f>0.1*('Revenue Buildup'!AA32-Manpower!AC16)</f>
        <v>819701.89812265267</v>
      </c>
      <c r="AD22" s="7">
        <f>0.1*('Revenue Buildup'!AB32-Manpower!AD16)</f>
        <v>1035282.7777471831</v>
      </c>
      <c r="AE22" s="7">
        <f>0.1*('Revenue Buildup'!AC32-Manpower!AE16)</f>
        <v>1114896.2749614508</v>
      </c>
      <c r="AF22" s="7">
        <f>0.1*('Revenue Buildup'!AD32-Manpower!AF16)</f>
        <v>1032539.2799537408</v>
      </c>
      <c r="AG22" s="7">
        <f>0.1*('Revenue Buildup'!AE32-Manpower!AG16)</f>
        <v>1291361.8859444892</v>
      </c>
      <c r="AH22" s="7">
        <f>0.1*('Revenue Buildup'!AF32-Manpower!AH16)</f>
        <v>1441425.0131333868</v>
      </c>
      <c r="AI22" s="7">
        <f>0.1*('Revenue Buildup'!AG32-Manpower!AI16)</f>
        <v>1401662.2657600641</v>
      </c>
      <c r="AJ22" s="7">
        <f>0.1*('Revenue Buildup'!AH32-Manpower!AJ16)</f>
        <v>1712138.193912077</v>
      </c>
      <c r="AK22" s="7">
        <f>0.1*('Revenue Buildup'!AI32-Manpower!AK16)</f>
        <v>1898276.5576944922</v>
      </c>
      <c r="AL22" s="7">
        <f>0.1*('Revenue Buildup'!AJ32-Manpower!AL16)</f>
        <v>2087465.0942333909</v>
      </c>
      <c r="AM22" s="7">
        <f>0.1*('Revenue Buildup'!AK32-Manpower!AM16)</f>
        <v>2138311.8380800686</v>
      </c>
      <c r="AN22" s="7">
        <f>0.1*('Revenue Buildup'!AL32-Manpower!AN16)</f>
        <v>2610031.2306960826</v>
      </c>
      <c r="AO22" s="7">
        <f>0.1*('Revenue Buildup'!AM32-Manpower!AO16)</f>
        <v>2896478.4518352994</v>
      </c>
      <c r="AP22" s="7">
        <f>0.1*('Revenue Buildup'!AN32-Manpower!AP16)</f>
        <v>2808035.1172023593</v>
      </c>
      <c r="AQ22" s="7"/>
      <c r="AR22" s="7"/>
      <c r="AS22" s="7"/>
      <c r="AT22" s="7"/>
      <c r="AU22" s="7">
        <f>0.1*('Revenue Buildup'!AS32-Manpower!AU16)</f>
        <v>18681419.591971558</v>
      </c>
      <c r="AV22" s="7">
        <f>0.1*('Revenue Buildup'!AT32-Manpower!AV16)</f>
        <v>45499507.858368926</v>
      </c>
    </row>
    <row r="23" spans="1:49" ht="15.75" customHeight="1">
      <c r="A23" s="62" t="s">
        <v>226</v>
      </c>
      <c r="B23" s="3" t="s">
        <v>224</v>
      </c>
      <c r="D23" s="108" t="s">
        <v>227</v>
      </c>
      <c r="E23" s="117"/>
      <c r="G23" s="7">
        <f>17028</f>
        <v>17028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f>G23</f>
        <v>17028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f>S23</f>
        <v>17028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R23" s="52"/>
      <c r="AS23" s="26"/>
      <c r="AU23" s="7">
        <f>AE23</f>
        <v>17028</v>
      </c>
      <c r="AV23" s="7">
        <f>AU23</f>
        <v>17028</v>
      </c>
    </row>
    <row r="24" spans="1:49" ht="15.75" customHeight="1">
      <c r="A24" s="22"/>
      <c r="E24" s="26"/>
      <c r="AR24" s="52"/>
      <c r="AS24" s="26"/>
    </row>
    <row r="25" spans="1:49" ht="15.75" customHeight="1">
      <c r="A25" s="40" t="s">
        <v>228</v>
      </c>
      <c r="E25" s="26"/>
      <c r="G25" s="7">
        <f>SUM(G8:G23)</f>
        <v>849468</v>
      </c>
      <c r="H25" s="7">
        <f t="shared" ref="H25:AP25" si="20">SUM(H8:H23)</f>
        <v>737612.44</v>
      </c>
      <c r="I25" s="7">
        <f t="shared" si="20"/>
        <v>741307.04</v>
      </c>
      <c r="J25" s="7">
        <f t="shared" si="20"/>
        <v>909833.1</v>
      </c>
      <c r="K25" s="7">
        <f t="shared" si="20"/>
        <v>972606.62</v>
      </c>
      <c r="L25" s="7">
        <f t="shared" si="20"/>
        <v>843719.6</v>
      </c>
      <c r="M25" s="7">
        <f t="shared" si="20"/>
        <v>1154182.96</v>
      </c>
      <c r="N25" s="7">
        <f t="shared" si="20"/>
        <v>1081627.72</v>
      </c>
      <c r="O25" s="7">
        <f t="shared" si="20"/>
        <v>930845.81599999999</v>
      </c>
      <c r="P25" s="7">
        <f t="shared" si="20"/>
        <v>1219736.9912</v>
      </c>
      <c r="Q25" s="7">
        <f t="shared" si="20"/>
        <v>1129955.6214400001</v>
      </c>
      <c r="R25" s="7">
        <f t="shared" si="20"/>
        <v>1140961.813728</v>
      </c>
      <c r="S25" s="7">
        <f t="shared" si="20"/>
        <v>1332784.3392972802</v>
      </c>
      <c r="T25" s="7">
        <f t="shared" si="20"/>
        <v>1383359.872956736</v>
      </c>
      <c r="U25" s="7">
        <f t="shared" si="20"/>
        <v>1086157.3947480833</v>
      </c>
      <c r="V25" s="7">
        <f t="shared" si="20"/>
        <v>1393840.8208976998</v>
      </c>
      <c r="W25" s="7">
        <f t="shared" si="20"/>
        <v>1303267.2668772398</v>
      </c>
      <c r="X25" s="7">
        <f t="shared" si="20"/>
        <v>1318623.8174526878</v>
      </c>
      <c r="Y25" s="7">
        <f t="shared" si="20"/>
        <v>1524474.1049432254</v>
      </c>
      <c r="Z25" s="7">
        <f t="shared" si="20"/>
        <v>1421481.5979318703</v>
      </c>
      <c r="AA25" s="7">
        <f t="shared" si="20"/>
        <v>1628501.0193182444</v>
      </c>
      <c r="AB25" s="7">
        <f t="shared" si="20"/>
        <v>1854386.4713818934</v>
      </c>
      <c r="AC25" s="7">
        <f t="shared" si="20"/>
        <v>1640103.203658272</v>
      </c>
      <c r="AD25" s="7">
        <f t="shared" si="20"/>
        <v>1867670.3801899264</v>
      </c>
      <c r="AE25" s="7">
        <f t="shared" si="20"/>
        <v>2225023.4758493071</v>
      </c>
      <c r="AF25" s="7">
        <f t="shared" si="20"/>
        <v>1988809.4319191687</v>
      </c>
      <c r="AG25" s="7">
        <f t="shared" si="20"/>
        <v>2262022.5748030026</v>
      </c>
      <c r="AH25" s="7">
        <f t="shared" si="20"/>
        <v>2552679.211863603</v>
      </c>
      <c r="AI25" s="7">
        <f t="shared" si="20"/>
        <v>2378455.6557363234</v>
      </c>
      <c r="AJ25" s="7">
        <f t="shared" si="20"/>
        <v>2706194.0454935883</v>
      </c>
      <c r="AK25" s="7">
        <f t="shared" si="20"/>
        <v>3064931.702302306</v>
      </c>
      <c r="AL25" s="7">
        <f t="shared" si="20"/>
        <v>3102389.1214727676</v>
      </c>
      <c r="AM25" s="7">
        <f t="shared" si="20"/>
        <v>3175716.6942773201</v>
      </c>
      <c r="AN25" s="7">
        <f t="shared" si="20"/>
        <v>3786259.9351227847</v>
      </c>
      <c r="AO25" s="7">
        <f t="shared" si="20"/>
        <v>3956383.6217573415</v>
      </c>
      <c r="AP25" s="7">
        <f t="shared" si="20"/>
        <v>3863022.8377188104</v>
      </c>
      <c r="AQ25" s="7"/>
      <c r="AR25" s="52"/>
      <c r="AS25" s="7"/>
      <c r="AT25" s="7"/>
      <c r="AU25" s="7">
        <f t="shared" ref="AU25:AV25" si="21">SUM(AU8:AU23)</f>
        <v>33125327.687685177</v>
      </c>
      <c r="AV25" s="7">
        <f t="shared" si="21"/>
        <v>64232697.378334239</v>
      </c>
    </row>
    <row r="26" spans="1:49" ht="15.75" customHeight="1">
      <c r="A26" s="22"/>
      <c r="E26" s="26"/>
      <c r="AS26" s="26"/>
    </row>
    <row r="27" spans="1:49" ht="15.75" customHeight="1">
      <c r="A27" s="22" t="s">
        <v>229</v>
      </c>
      <c r="E27" s="26"/>
      <c r="G27" s="7">
        <f>G25-G9</f>
        <v>849453</v>
      </c>
      <c r="H27" s="7">
        <f t="shared" ref="H27:AP27" si="22">H25-H9</f>
        <v>737596.95</v>
      </c>
      <c r="I27" s="7">
        <f t="shared" si="22"/>
        <v>741291.20000000007</v>
      </c>
      <c r="J27" s="7">
        <f t="shared" si="22"/>
        <v>909814.875</v>
      </c>
      <c r="K27" s="7">
        <f t="shared" si="22"/>
        <v>972572.97499999998</v>
      </c>
      <c r="L27" s="7">
        <f t="shared" si="22"/>
        <v>843700.5</v>
      </c>
      <c r="M27" s="7">
        <f t="shared" si="22"/>
        <v>1154146.3</v>
      </c>
      <c r="N27" s="7">
        <f t="shared" si="22"/>
        <v>1081590.3499999999</v>
      </c>
      <c r="O27" s="7">
        <f t="shared" si="22"/>
        <v>930822.73</v>
      </c>
      <c r="P27" s="7">
        <f t="shared" si="22"/>
        <v>1219696.0109999999</v>
      </c>
      <c r="Q27" s="7">
        <f t="shared" si="22"/>
        <v>1129913.6732000001</v>
      </c>
      <c r="R27" s="7">
        <f t="shared" si="22"/>
        <v>1140918.82284</v>
      </c>
      <c r="S27" s="7">
        <f t="shared" si="22"/>
        <v>1332739.2742784002</v>
      </c>
      <c r="T27" s="7">
        <f t="shared" si="22"/>
        <v>1383297.5093840801</v>
      </c>
      <c r="U27" s="7">
        <f t="shared" si="22"/>
        <v>1086124.8272608961</v>
      </c>
      <c r="V27" s="7">
        <f t="shared" si="22"/>
        <v>1393788.3587130751</v>
      </c>
      <c r="W27" s="7">
        <f t="shared" si="22"/>
        <v>1303212.4907056903</v>
      </c>
      <c r="X27" s="7">
        <f t="shared" si="22"/>
        <v>1318566.4923468283</v>
      </c>
      <c r="Y27" s="7">
        <f t="shared" si="22"/>
        <v>1524411.6358161941</v>
      </c>
      <c r="Z27" s="7">
        <f t="shared" si="22"/>
        <v>1421415.6229794326</v>
      </c>
      <c r="AA27" s="7">
        <f t="shared" si="22"/>
        <v>1628415.4328253192</v>
      </c>
      <c r="AB27" s="7">
        <f t="shared" si="22"/>
        <v>1854292.0216403832</v>
      </c>
      <c r="AC27" s="7">
        <f t="shared" si="22"/>
        <v>1640019.2534684597</v>
      </c>
      <c r="AD27" s="7">
        <f t="shared" si="22"/>
        <v>1867564.8719121516</v>
      </c>
      <c r="AE27" s="7">
        <f t="shared" si="22"/>
        <v>2224909.808221811</v>
      </c>
      <c r="AF27" s="7">
        <f t="shared" si="22"/>
        <v>1988703.9999911734</v>
      </c>
      <c r="AG27" s="7">
        <f t="shared" si="22"/>
        <v>2261891.2606144082</v>
      </c>
      <c r="AH27" s="7">
        <f t="shared" si="22"/>
        <v>2552532.8913622894</v>
      </c>
      <c r="AI27" s="7">
        <f t="shared" si="22"/>
        <v>2378313.3115097475</v>
      </c>
      <c r="AJ27" s="7">
        <f t="shared" si="22"/>
        <v>2706020.6536741969</v>
      </c>
      <c r="AK27" s="7">
        <f t="shared" si="22"/>
        <v>3064739.6966465367</v>
      </c>
      <c r="AL27" s="7">
        <f t="shared" si="22"/>
        <v>3102178.1969633442</v>
      </c>
      <c r="AM27" s="7">
        <f t="shared" si="22"/>
        <v>3175500.6850935118</v>
      </c>
      <c r="AN27" s="7">
        <f t="shared" si="22"/>
        <v>3785996.7539997152</v>
      </c>
      <c r="AO27" s="7">
        <f t="shared" si="22"/>
        <v>3956091.7959121582</v>
      </c>
      <c r="AP27" s="7">
        <f t="shared" si="22"/>
        <v>3862739.85620709</v>
      </c>
      <c r="AQ27" s="7"/>
      <c r="AR27" s="7"/>
      <c r="AS27" s="7"/>
      <c r="AT27" s="7"/>
      <c r="AU27" s="7">
        <f t="shared" ref="AU27:AV27" si="23">AU25-AU9</f>
        <v>33123416.421325978</v>
      </c>
      <c r="AV27" s="7">
        <f t="shared" si="23"/>
        <v>64228099.990708403</v>
      </c>
    </row>
    <row r="28" spans="1:49" ht="15.75" customHeight="1">
      <c r="A28" s="22" t="s">
        <v>230</v>
      </c>
      <c r="E28" s="26"/>
      <c r="G28" s="7">
        <f>G22+G23+Manpower!G48</f>
        <v>429028</v>
      </c>
      <c r="H28" s="7">
        <f>H22+H23+Manpower!H48</f>
        <v>416900</v>
      </c>
      <c r="I28" s="7">
        <f>I22+I23+Manpower!I48</f>
        <v>420400</v>
      </c>
      <c r="J28" s="7">
        <f>J22+J23+Manpower!J48</f>
        <v>444250</v>
      </c>
      <c r="K28" s="7">
        <f>K22+K23+Manpower!K48</f>
        <v>598450</v>
      </c>
      <c r="L28" s="7">
        <f>L22+L23+Manpower!L48</f>
        <v>453000</v>
      </c>
      <c r="M28" s="7">
        <f>M22+M23+Manpower!M48</f>
        <v>678600</v>
      </c>
      <c r="N28" s="7">
        <f>N22+N23+Manpower!N48</f>
        <v>685700</v>
      </c>
      <c r="O28" s="7">
        <f>O22+O23+Manpower!O48</f>
        <v>542860</v>
      </c>
      <c r="P28" s="7">
        <f>P22+P23+Manpower!P48</f>
        <v>721802</v>
      </c>
      <c r="Q28" s="7">
        <f>Q22+Q23+Manpower!Q48</f>
        <v>731482.4</v>
      </c>
      <c r="R28" s="7">
        <f>R22+R23+Manpower!R48</f>
        <v>741908.88</v>
      </c>
      <c r="S28" s="7">
        <f>S22+S23+Manpower!S48</f>
        <v>810878.18880000012</v>
      </c>
      <c r="T28" s="7">
        <f>T22+T23+Manpower!T48</f>
        <v>966835.7265600001</v>
      </c>
      <c r="U28" s="7">
        <f>U22+U23+Manpower!U48</f>
        <v>668874.87187200005</v>
      </c>
      <c r="V28" s="7">
        <f>V22+V23+Manpower!V48</f>
        <v>867821.84624640015</v>
      </c>
      <c r="W28" s="7">
        <f>W22+W23+Manpower!W48</f>
        <v>890961.71549567999</v>
      </c>
      <c r="X28" s="7">
        <f>X22+X23+Manpower!X48</f>
        <v>916451.05859481613</v>
      </c>
      <c r="Y28" s="7">
        <f>Y22+Y23+Manpower!Y48</f>
        <v>967891.27031377936</v>
      </c>
      <c r="Z28" s="7">
        <f>Z22+Z23+Manpower!Z48</f>
        <v>1002949.5243765351</v>
      </c>
      <c r="AA28" s="7">
        <f>AA22+AA23+Manpower!AA48</f>
        <v>1199064.9292518422</v>
      </c>
      <c r="AB28" s="7">
        <f>AB22+AB23+Manpower!AB48</f>
        <v>1287697.4151022106</v>
      </c>
      <c r="AC28" s="7">
        <f>AC22+AC23+Manpower!AC48</f>
        <v>1182701.8981226527</v>
      </c>
      <c r="AD28" s="7">
        <f>AD22+AD23+Manpower!AD48</f>
        <v>1398282.7777471831</v>
      </c>
      <c r="AE28" s="7">
        <f>AE22+AE23+Manpower!AE48</f>
        <v>1591724.2749614511</v>
      </c>
      <c r="AF28" s="7">
        <f>AF22+AF23+Manpower!AF48</f>
        <v>1492339.279953741</v>
      </c>
      <c r="AG28" s="7">
        <f>AG22+AG23+Manpower!AG48</f>
        <v>1751161.8859444894</v>
      </c>
      <c r="AH28" s="7">
        <f>AH22+AH23+Manpower!AH48</f>
        <v>1901225.0131333871</v>
      </c>
      <c r="AI28" s="7">
        <f>AI22+AI23+Manpower!AI48</f>
        <v>1861462.2657600641</v>
      </c>
      <c r="AJ28" s="7">
        <f>AJ22+AJ23+Manpower!AJ48</f>
        <v>2171938.1939120772</v>
      </c>
      <c r="AK28" s="7">
        <f>AK22+AK23+Manpower!AK48</f>
        <v>2358076.5576944924</v>
      </c>
      <c r="AL28" s="7">
        <f>AL22+AL23+Manpower!AL48</f>
        <v>2547265.0942333909</v>
      </c>
      <c r="AM28" s="7">
        <f>AM22+AM23+Manpower!AM48</f>
        <v>2598111.8380800686</v>
      </c>
      <c r="AN28" s="7">
        <f>AN22+AN23+Manpower!AN48</f>
        <v>3069831.2306960826</v>
      </c>
      <c r="AO28" s="7">
        <f>AO22+AO23+Manpower!AO48</f>
        <v>3356278.4518352994</v>
      </c>
      <c r="AP28" s="7">
        <f>AP22+AP23+Manpower!AP48</f>
        <v>3267835.1172023593</v>
      </c>
      <c r="AQ28" s="7"/>
      <c r="AR28" s="7"/>
      <c r="AS28" s="7"/>
      <c r="AT28" s="7"/>
      <c r="AU28" s="7">
        <f>AU22+AU23+Manpower!AU48</f>
        <v>27003887.591971561</v>
      </c>
      <c r="AV28" s="7">
        <f>AV22+AV23+Manpower!AV48</f>
        <v>54652519.858368933</v>
      </c>
    </row>
    <row r="29" spans="1:49" ht="15.75" customHeight="1">
      <c r="A29" s="22"/>
      <c r="E29" s="2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1:49" ht="15.75" customHeight="1">
      <c r="A30" s="5" t="s">
        <v>102</v>
      </c>
      <c r="E30" s="26"/>
      <c r="G30" s="7">
        <v>2003500</v>
      </c>
      <c r="H30" s="7">
        <v>7000</v>
      </c>
      <c r="I30" s="7">
        <v>3500</v>
      </c>
      <c r="J30" s="7">
        <v>2210500</v>
      </c>
      <c r="K30" s="7">
        <v>7000</v>
      </c>
      <c r="L30" s="7">
        <v>2010500</v>
      </c>
      <c r="M30" s="7">
        <v>2203500</v>
      </c>
      <c r="N30" s="7">
        <v>10200</v>
      </c>
      <c r="O30" s="7">
        <v>2209100</v>
      </c>
      <c r="P30" s="7">
        <v>2218180</v>
      </c>
      <c r="Q30" s="7">
        <v>2016600</v>
      </c>
      <c r="R30" s="7">
        <v>2223940</v>
      </c>
      <c r="S30" s="7">
        <v>2334150</v>
      </c>
      <c r="T30" s="7">
        <v>4444860</v>
      </c>
      <c r="U30" s="7">
        <v>2346225</v>
      </c>
      <c r="V30" s="7">
        <v>2354940</v>
      </c>
      <c r="W30" s="7">
        <v>4461660</v>
      </c>
      <c r="X30" s="7">
        <v>2371740</v>
      </c>
      <c r="Y30" s="7">
        <v>4480140</v>
      </c>
      <c r="Z30" s="7">
        <v>2395575</v>
      </c>
      <c r="AA30" s="7">
        <v>4511850</v>
      </c>
      <c r="AB30" s="7">
        <v>4515735</v>
      </c>
      <c r="AC30" s="7">
        <v>2431485</v>
      </c>
      <c r="AD30" s="7">
        <v>4527180</v>
      </c>
      <c r="AE30" s="7">
        <v>6973312.5</v>
      </c>
      <c r="AF30" s="7">
        <v>2566509.75</v>
      </c>
      <c r="AG30" s="7">
        <v>4789811.25</v>
      </c>
      <c r="AH30" s="7">
        <v>4804254</v>
      </c>
      <c r="AI30" s="7">
        <v>4809215.25</v>
      </c>
      <c r="AJ30" s="7">
        <v>7020940.5</v>
      </c>
      <c r="AK30" s="7">
        <v>2632770</v>
      </c>
      <c r="AL30" s="7">
        <v>7056551.25</v>
      </c>
      <c r="AM30" s="7">
        <v>4881870</v>
      </c>
      <c r="AN30" s="7">
        <v>4908330</v>
      </c>
      <c r="AO30" s="7">
        <v>4939751.25</v>
      </c>
      <c r="AP30" s="7">
        <v>7175070</v>
      </c>
      <c r="AQ30" s="7"/>
      <c r="AR30" s="7"/>
      <c r="AS30" s="7"/>
      <c r="AT30" s="7"/>
      <c r="AU30" s="7">
        <v>80142378.75</v>
      </c>
      <c r="AV30" s="7">
        <v>105010015.95</v>
      </c>
    </row>
    <row r="31" spans="1:49" ht="15.75" customHeight="1">
      <c r="A31" s="22"/>
      <c r="E31" s="26"/>
      <c r="G31" s="8">
        <f t="shared" ref="G31:AP31" si="24">G30/G28</f>
        <v>4.6698583775417921</v>
      </c>
      <c r="H31" s="8">
        <f t="shared" si="24"/>
        <v>1.6790597265531303E-2</v>
      </c>
      <c r="I31" s="8">
        <f t="shared" si="24"/>
        <v>8.3254043767840152E-3</v>
      </c>
      <c r="J31" s="8">
        <f t="shared" si="24"/>
        <v>4.9758019133370848</v>
      </c>
      <c r="K31" s="8">
        <f t="shared" si="24"/>
        <v>1.1696883616008021E-2</v>
      </c>
      <c r="L31" s="8">
        <f t="shared" si="24"/>
        <v>4.4381898454746134</v>
      </c>
      <c r="M31" s="8">
        <f t="shared" si="24"/>
        <v>3.2471264367816093</v>
      </c>
      <c r="N31" s="8">
        <f t="shared" si="24"/>
        <v>1.4875309902289632E-2</v>
      </c>
      <c r="O31" s="8">
        <f t="shared" si="24"/>
        <v>4.0693733190877941</v>
      </c>
      <c r="P31" s="8">
        <f t="shared" si="24"/>
        <v>3.0731142335432708</v>
      </c>
      <c r="Q31" s="8">
        <f t="shared" si="24"/>
        <v>2.7568674242879938</v>
      </c>
      <c r="R31" s="8">
        <f t="shared" si="24"/>
        <v>2.9975918336494369</v>
      </c>
      <c r="S31" s="8">
        <f t="shared" si="24"/>
        <v>2.8785457942262012</v>
      </c>
      <c r="T31" s="8">
        <f t="shared" si="24"/>
        <v>4.5973270100545465</v>
      </c>
      <c r="U31" s="8">
        <f t="shared" si="24"/>
        <v>3.5077188554468344</v>
      </c>
      <c r="V31" s="8">
        <f t="shared" si="24"/>
        <v>2.7136214767879481</v>
      </c>
      <c r="W31" s="8">
        <f t="shared" si="24"/>
        <v>5.007689917986867</v>
      </c>
      <c r="X31" s="8">
        <f t="shared" si="24"/>
        <v>2.5879614385917802</v>
      </c>
      <c r="Y31" s="8">
        <f t="shared" si="24"/>
        <v>4.6287637231686052</v>
      </c>
      <c r="Z31" s="8">
        <f t="shared" si="24"/>
        <v>2.3885299726216678</v>
      </c>
      <c r="AA31" s="8">
        <f t="shared" si="24"/>
        <v>3.762807075689532</v>
      </c>
      <c r="AB31" s="8">
        <f t="shared" si="24"/>
        <v>3.5068292807294057</v>
      </c>
      <c r="AC31" s="8">
        <f t="shared" si="24"/>
        <v>2.0558730850602234</v>
      </c>
      <c r="AD31" s="8">
        <f t="shared" si="24"/>
        <v>3.2376712865575592</v>
      </c>
      <c r="AE31" s="8">
        <f t="shared" si="24"/>
        <v>4.3809801796035828</v>
      </c>
      <c r="AF31" s="8">
        <f t="shared" si="24"/>
        <v>1.7197897183806323</v>
      </c>
      <c r="AG31" s="8">
        <f t="shared" si="24"/>
        <v>2.735218992855486</v>
      </c>
      <c r="AH31" s="8">
        <f t="shared" si="24"/>
        <v>2.5269255173968936</v>
      </c>
      <c r="AI31" s="8">
        <f t="shared" si="24"/>
        <v>2.5835684872378124</v>
      </c>
      <c r="AJ31" s="8">
        <f t="shared" si="24"/>
        <v>3.2325691954216889</v>
      </c>
      <c r="AK31" s="8">
        <f t="shared" si="24"/>
        <v>1.1164904682204539</v>
      </c>
      <c r="AL31" s="8">
        <f t="shared" si="24"/>
        <v>2.7702461223902164</v>
      </c>
      <c r="AM31" s="8">
        <f t="shared" si="24"/>
        <v>1.8790068727786424</v>
      </c>
      <c r="AN31" s="8">
        <f t="shared" si="24"/>
        <v>1.5988924573182608</v>
      </c>
      <c r="AO31" s="8">
        <f t="shared" si="24"/>
        <v>1.4717942271145044</v>
      </c>
      <c r="AP31" s="8">
        <f t="shared" si="24"/>
        <v>2.195664635045198</v>
      </c>
      <c r="AQ31" s="8"/>
      <c r="AR31" s="8"/>
      <c r="AS31" s="8"/>
      <c r="AT31" s="8"/>
      <c r="AU31" s="8">
        <f>AU30/AU28</f>
        <v>2.9678089303640438</v>
      </c>
      <c r="AV31" s="8">
        <f t="shared" ref="AV31" si="25">AV30/AV28</f>
        <v>1.9214121548673631</v>
      </c>
    </row>
    <row r="32" spans="1:49" ht="15.75" customHeight="1">
      <c r="A32" s="22"/>
      <c r="E32" s="26"/>
      <c r="G32" s="8">
        <f>MAX(G31:AV31)</f>
        <v>5.007689917986867</v>
      </c>
      <c r="AS32" s="26"/>
    </row>
    <row r="33" spans="1:49" ht="15.75" customHeight="1">
      <c r="A33" s="22"/>
      <c r="E33" s="26"/>
      <c r="AS33" s="26"/>
    </row>
    <row r="34" spans="1:49" ht="15.75" customHeight="1">
      <c r="A34" s="22"/>
      <c r="E34" s="26"/>
      <c r="AS34" s="26"/>
    </row>
    <row r="35" spans="1:49" ht="15.75" customHeight="1">
      <c r="A35" s="22"/>
      <c r="E35" s="26"/>
      <c r="AS35" s="26"/>
    </row>
    <row r="36" spans="1:49" ht="15.75" customHeight="1">
      <c r="A36" s="90" t="s">
        <v>231</v>
      </c>
      <c r="B36" s="91" t="s">
        <v>4</v>
      </c>
      <c r="C36" s="91" t="s">
        <v>5</v>
      </c>
      <c r="D36" s="91" t="s">
        <v>6</v>
      </c>
      <c r="E36" s="91" t="s">
        <v>7</v>
      </c>
      <c r="F36" s="90"/>
      <c r="G36" s="91" t="s">
        <v>8</v>
      </c>
      <c r="AS36" s="26"/>
    </row>
    <row r="37" spans="1:49" ht="15.75" customHeight="1">
      <c r="A37" s="22" t="s">
        <v>159</v>
      </c>
      <c r="B37" s="7">
        <f>(SUM(G8:R20))-B38</f>
        <v>8507136.1070399955</v>
      </c>
      <c r="C37" s="7">
        <f>(SUM(S8:AD20))-C38</f>
        <v>9949436.5688478108</v>
      </c>
      <c r="D37" s="7">
        <f>(SUM(AE8:AP20))-D38</f>
        <v>12609969.70678908</v>
      </c>
      <c r="E37" s="41">
        <f>(SUM(AU8:AU20))-E38</f>
        <v>14424968.82935442</v>
      </c>
      <c r="G37" s="41">
        <f>(SUM(AV8:AV20))-G38</f>
        <v>18711564.132339474</v>
      </c>
      <c r="AS37" s="26"/>
    </row>
    <row r="38" spans="1:49" ht="15.75" customHeight="1">
      <c r="A38" s="22" t="s">
        <v>232</v>
      </c>
      <c r="B38" s="7">
        <f>SUM(G9:R9)</f>
        <v>340.335328</v>
      </c>
      <c r="C38" s="7">
        <f>SUM(S9:AD9)</f>
        <v>802.49832224830993</v>
      </c>
      <c r="D38" s="7">
        <f>SUM(AE9:AP9)</f>
        <v>2269.3981203406902</v>
      </c>
      <c r="E38" s="41">
        <f>AU9</f>
        <v>1911.2663591971559</v>
      </c>
      <c r="G38" s="41">
        <f>AV9</f>
        <v>4597.3876258368928</v>
      </c>
      <c r="AS38" s="26"/>
    </row>
    <row r="39" spans="1:49" ht="15.75" customHeight="1">
      <c r="A39" s="22" t="s">
        <v>224</v>
      </c>
      <c r="B39" s="7">
        <f>SUM(G22:R23)</f>
        <v>3204381.28</v>
      </c>
      <c r="C39" s="7">
        <f>SUM(S22:AD23)</f>
        <v>7804411.2224830985</v>
      </c>
      <c r="D39" s="7">
        <f>SUM(AE22:AP23)</f>
        <v>22449649.203406904</v>
      </c>
      <c r="E39" s="41">
        <f>AU22+AU23</f>
        <v>18698447.591971558</v>
      </c>
      <c r="G39" s="41">
        <f>AV22+AV23</f>
        <v>45516535.858368926</v>
      </c>
      <c r="AS39" s="26"/>
    </row>
    <row r="40" spans="1:49" ht="15.75" customHeight="1">
      <c r="A40" s="40" t="s">
        <v>228</v>
      </c>
      <c r="B40" s="42">
        <f t="shared" ref="B40:E40" si="26">SUM(B37:B39)</f>
        <v>11711857.722367994</v>
      </c>
      <c r="C40" s="42">
        <f t="shared" si="26"/>
        <v>17754650.28965316</v>
      </c>
      <c r="D40" s="42">
        <f t="shared" si="26"/>
        <v>35061888.30831632</v>
      </c>
      <c r="E40" s="42">
        <f t="shared" si="26"/>
        <v>33125327.687685177</v>
      </c>
      <c r="F40" s="42"/>
      <c r="G40" s="42">
        <f>SUM(G37:G39)</f>
        <v>64232697.378334239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26"/>
      <c r="AT40" s="4"/>
      <c r="AU40" s="4"/>
      <c r="AV40" s="4"/>
      <c r="AW40" s="4"/>
    </row>
    <row r="41" spans="1:49" ht="15.75" customHeight="1">
      <c r="A41" s="22"/>
      <c r="B41" s="7"/>
      <c r="E41" s="26"/>
      <c r="G41" s="26"/>
      <c r="AS41" s="26"/>
    </row>
    <row r="42" spans="1:49" ht="15.75" customHeight="1">
      <c r="A42" s="22" t="s">
        <v>229</v>
      </c>
      <c r="B42" s="7">
        <f t="shared" ref="B42:E42" si="27">B39+B37</f>
        <v>11711517.387039995</v>
      </c>
      <c r="C42" s="7">
        <f t="shared" si="27"/>
        <v>17753847.791330911</v>
      </c>
      <c r="D42" s="7">
        <f t="shared" si="27"/>
        <v>35059618.910195984</v>
      </c>
      <c r="E42" s="7">
        <f t="shared" si="27"/>
        <v>33123416.421325978</v>
      </c>
      <c r="G42" s="41">
        <f t="shared" ref="G42:G43" si="28">AV27</f>
        <v>64228099.990708403</v>
      </c>
      <c r="AS42" s="26"/>
    </row>
    <row r="43" spans="1:49" ht="15.75" customHeight="1">
      <c r="A43" s="22" t="s">
        <v>233</v>
      </c>
      <c r="B43" s="7">
        <f>SUM(G28:R28)</f>
        <v>6864381.2800000003</v>
      </c>
      <c r="C43" s="7">
        <f>SUM(S28:AD28)</f>
        <v>12160411.222483102</v>
      </c>
      <c r="D43" s="7">
        <f>SUM(AE28:AP28)</f>
        <v>27967249.203406904</v>
      </c>
      <c r="E43" s="41">
        <f>AU28</f>
        <v>27003887.591971561</v>
      </c>
      <c r="G43" s="41">
        <f t="shared" si="28"/>
        <v>54652519.858368933</v>
      </c>
      <c r="AS43" s="26"/>
    </row>
    <row r="44" spans="1:49" ht="15.75" customHeight="1">
      <c r="A44" s="22"/>
      <c r="E44" s="26"/>
      <c r="AS44" s="26"/>
    </row>
    <row r="45" spans="1:49" ht="15.75" customHeight="1">
      <c r="A45" s="22"/>
      <c r="E45" s="26"/>
      <c r="AS45" s="26"/>
    </row>
    <row r="46" spans="1:49" ht="15.75" customHeight="1">
      <c r="A46" s="22"/>
      <c r="E46" s="26"/>
      <c r="AS46" s="26"/>
    </row>
    <row r="47" spans="1:49" ht="15.75" customHeight="1">
      <c r="A47" s="22"/>
      <c r="E47" s="26"/>
      <c r="AS47" s="26"/>
    </row>
    <row r="48" spans="1:49" ht="15.75" customHeight="1">
      <c r="A48" s="22"/>
      <c r="E48" s="26"/>
      <c r="AS48" s="26"/>
    </row>
    <row r="49" spans="1:45" ht="15.75" customHeight="1">
      <c r="A49" s="22"/>
      <c r="E49" s="26"/>
      <c r="AS49" s="26"/>
    </row>
    <row r="50" spans="1:45" ht="15.75" customHeight="1">
      <c r="A50" s="22"/>
      <c r="E50" s="26"/>
      <c r="AS50" s="26"/>
    </row>
    <row r="51" spans="1:45" ht="15.75" customHeight="1">
      <c r="A51" s="22"/>
      <c r="E51" s="26"/>
      <c r="AS51" s="26"/>
    </row>
    <row r="52" spans="1:45" ht="15.75" customHeight="1">
      <c r="A52" s="22"/>
      <c r="E52" s="26"/>
      <c r="AS52" s="26"/>
    </row>
    <row r="53" spans="1:45" ht="15.75" customHeight="1">
      <c r="A53" s="22"/>
      <c r="E53" s="26"/>
      <c r="AS53" s="26"/>
    </row>
    <row r="54" spans="1:45" ht="15.75" customHeight="1">
      <c r="A54" s="22"/>
      <c r="E54" s="26"/>
      <c r="AS54" s="26"/>
    </row>
    <row r="55" spans="1:45" ht="15.75" customHeight="1">
      <c r="A55" s="22"/>
      <c r="E55" s="26"/>
      <c r="AS55" s="26"/>
    </row>
    <row r="56" spans="1:45" ht="15.75" customHeight="1">
      <c r="A56" s="22"/>
      <c r="E56" s="26"/>
      <c r="AS56" s="26"/>
    </row>
    <row r="57" spans="1:45" ht="15.75" customHeight="1">
      <c r="A57" s="22"/>
      <c r="E57" s="26"/>
      <c r="AS57" s="26"/>
    </row>
    <row r="58" spans="1:45" ht="15.75" customHeight="1">
      <c r="A58" s="22"/>
      <c r="E58" s="26"/>
      <c r="AS58" s="26"/>
    </row>
    <row r="59" spans="1:45" ht="15.75" customHeight="1">
      <c r="A59" s="22"/>
      <c r="E59" s="26"/>
      <c r="AS59" s="26"/>
    </row>
    <row r="60" spans="1:45" ht="15.75" customHeight="1">
      <c r="A60" s="22"/>
      <c r="E60" s="26"/>
      <c r="AS60" s="26"/>
    </row>
    <row r="61" spans="1:45" ht="15.75" customHeight="1">
      <c r="A61" s="22"/>
      <c r="E61" s="26"/>
      <c r="AS61" s="26"/>
    </row>
    <row r="62" spans="1:45" ht="15.75" customHeight="1">
      <c r="A62" s="22"/>
      <c r="E62" s="26"/>
      <c r="AS62" s="26"/>
    </row>
    <row r="63" spans="1:45" ht="15.75" customHeight="1">
      <c r="A63" s="22"/>
      <c r="E63" s="26"/>
      <c r="AS63" s="26"/>
    </row>
    <row r="64" spans="1:45" ht="15.75" customHeight="1">
      <c r="A64" s="22"/>
      <c r="E64" s="26"/>
      <c r="AS64" s="26"/>
    </row>
    <row r="65" spans="1:45" ht="15.75" customHeight="1">
      <c r="A65" s="22"/>
      <c r="E65" s="26"/>
      <c r="AS65" s="26"/>
    </row>
    <row r="66" spans="1:45" ht="15.75" customHeight="1">
      <c r="A66" s="22"/>
      <c r="E66" s="26"/>
      <c r="AS66" s="26"/>
    </row>
    <row r="67" spans="1:45" ht="15.75" customHeight="1">
      <c r="A67" s="22"/>
      <c r="E67" s="26"/>
      <c r="AS67" s="26"/>
    </row>
    <row r="68" spans="1:45" ht="15.75" customHeight="1">
      <c r="A68" s="22"/>
      <c r="E68" s="26"/>
      <c r="AS68" s="26"/>
    </row>
    <row r="69" spans="1:45" ht="15.75" customHeight="1">
      <c r="A69" s="22"/>
      <c r="E69" s="26"/>
      <c r="AS69" s="26"/>
    </row>
    <row r="70" spans="1:45" ht="15.75" customHeight="1">
      <c r="A70" s="22"/>
      <c r="E70" s="26"/>
      <c r="AS70" s="26"/>
    </row>
    <row r="71" spans="1:45" ht="15.75" customHeight="1">
      <c r="A71" s="22"/>
      <c r="E71" s="26"/>
      <c r="AS71" s="26"/>
    </row>
    <row r="72" spans="1:45" ht="15.75" customHeight="1">
      <c r="A72" s="22"/>
      <c r="E72" s="26"/>
      <c r="AS72" s="26"/>
    </row>
    <row r="73" spans="1:45" ht="15.75" customHeight="1">
      <c r="A73" s="22"/>
      <c r="E73" s="26"/>
      <c r="AS73" s="26"/>
    </row>
    <row r="74" spans="1:45" ht="15.75" customHeight="1">
      <c r="A74" s="22"/>
      <c r="E74" s="26"/>
      <c r="AS74" s="26"/>
    </row>
    <row r="75" spans="1:45" ht="15.75" customHeight="1">
      <c r="A75" s="22"/>
      <c r="E75" s="26"/>
      <c r="AS75" s="26"/>
    </row>
    <row r="76" spans="1:45" ht="15.75" customHeight="1">
      <c r="A76" s="22"/>
      <c r="E76" s="26"/>
      <c r="AS76" s="26"/>
    </row>
    <row r="77" spans="1:45" ht="15.75" customHeight="1">
      <c r="A77" s="22"/>
      <c r="E77" s="26"/>
      <c r="AS77" s="26"/>
    </row>
    <row r="78" spans="1:45" ht="15.75" customHeight="1">
      <c r="A78" s="22"/>
      <c r="E78" s="26"/>
      <c r="AS78" s="26"/>
    </row>
    <row r="79" spans="1:45" ht="15.75" customHeight="1">
      <c r="A79" s="22"/>
      <c r="E79" s="26"/>
      <c r="AS79" s="26"/>
    </row>
    <row r="80" spans="1:45" ht="15.75" customHeight="1">
      <c r="A80" s="22"/>
      <c r="E80" s="26"/>
      <c r="AS80" s="26"/>
    </row>
    <row r="81" spans="1:45" ht="15.75" customHeight="1">
      <c r="A81" s="22"/>
      <c r="E81" s="26"/>
      <c r="AS81" s="26"/>
    </row>
    <row r="82" spans="1:45" ht="15.75" customHeight="1">
      <c r="A82" s="22"/>
      <c r="E82" s="26"/>
      <c r="AS82" s="26"/>
    </row>
    <row r="83" spans="1:45" ht="15.75" customHeight="1">
      <c r="A83" s="22"/>
      <c r="E83" s="26"/>
      <c r="AS83" s="26"/>
    </row>
    <row r="84" spans="1:45" ht="15.75" customHeight="1">
      <c r="A84" s="22"/>
      <c r="E84" s="26"/>
      <c r="AS84" s="26"/>
    </row>
    <row r="85" spans="1:45" ht="15.75" customHeight="1">
      <c r="A85" s="22"/>
      <c r="E85" s="26"/>
      <c r="AS85" s="26"/>
    </row>
    <row r="86" spans="1:45" ht="15.75" customHeight="1">
      <c r="A86" s="22"/>
      <c r="E86" s="26"/>
      <c r="AS86" s="26"/>
    </row>
    <row r="87" spans="1:45" ht="15.75" customHeight="1">
      <c r="A87" s="22"/>
      <c r="E87" s="26"/>
      <c r="AS87" s="26"/>
    </row>
    <row r="88" spans="1:45" ht="15.75" customHeight="1">
      <c r="A88" s="22"/>
      <c r="E88" s="26"/>
      <c r="AS88" s="26"/>
    </row>
    <row r="89" spans="1:45" ht="15.75" customHeight="1">
      <c r="A89" s="22"/>
      <c r="E89" s="26"/>
      <c r="AS89" s="26"/>
    </row>
    <row r="90" spans="1:45" ht="15.75" customHeight="1">
      <c r="A90" s="22"/>
      <c r="E90" s="26"/>
      <c r="AS90" s="26"/>
    </row>
    <row r="91" spans="1:45" ht="15.75" customHeight="1">
      <c r="A91" s="22"/>
      <c r="E91" s="26"/>
      <c r="AS91" s="26"/>
    </row>
    <row r="92" spans="1:45" ht="15.75" customHeight="1">
      <c r="A92" s="22"/>
      <c r="E92" s="26"/>
      <c r="AS92" s="26"/>
    </row>
    <row r="93" spans="1:45" ht="15.75" customHeight="1">
      <c r="A93" s="22"/>
      <c r="E93" s="26"/>
      <c r="AS93" s="26"/>
    </row>
    <row r="94" spans="1:45" ht="15.75" customHeight="1">
      <c r="A94" s="22"/>
      <c r="E94" s="26"/>
      <c r="AS94" s="26"/>
    </row>
    <row r="95" spans="1:45" ht="15.75" customHeight="1">
      <c r="A95" s="22"/>
      <c r="E95" s="26"/>
      <c r="AS95" s="26"/>
    </row>
    <row r="96" spans="1:45" ht="15.75" customHeight="1">
      <c r="A96" s="22"/>
      <c r="E96" s="26"/>
      <c r="AS96" s="26"/>
    </row>
    <row r="97" spans="1:45" ht="15.75" customHeight="1">
      <c r="A97" s="22"/>
      <c r="E97" s="26"/>
      <c r="AS97" s="26"/>
    </row>
    <row r="98" spans="1:45" ht="15.75" customHeight="1">
      <c r="A98" s="22"/>
      <c r="E98" s="26"/>
      <c r="AS98" s="26"/>
    </row>
    <row r="99" spans="1:45" ht="15.75" customHeight="1">
      <c r="A99" s="22"/>
      <c r="E99" s="26"/>
      <c r="AS99" s="26"/>
    </row>
    <row r="100" spans="1:45" ht="15.75" customHeight="1">
      <c r="A100" s="22"/>
      <c r="E100" s="26"/>
      <c r="AS100" s="26"/>
    </row>
    <row r="101" spans="1:45" ht="15.75" customHeight="1">
      <c r="A101" s="22"/>
      <c r="E101" s="26"/>
      <c r="AS101" s="26"/>
    </row>
    <row r="102" spans="1:45" ht="15.75" customHeight="1">
      <c r="A102" s="22"/>
      <c r="E102" s="26"/>
      <c r="AS102" s="26"/>
    </row>
    <row r="103" spans="1:45" ht="15.75" customHeight="1">
      <c r="A103" s="22"/>
      <c r="E103" s="26"/>
      <c r="AS103" s="26"/>
    </row>
    <row r="104" spans="1:45" ht="15.75" customHeight="1">
      <c r="A104" s="22"/>
      <c r="E104" s="26"/>
      <c r="AS104" s="26"/>
    </row>
    <row r="105" spans="1:45" ht="15.75" customHeight="1">
      <c r="A105" s="22"/>
      <c r="E105" s="26"/>
      <c r="AS105" s="26"/>
    </row>
    <row r="106" spans="1:45" ht="15.75" customHeight="1">
      <c r="A106" s="22"/>
      <c r="E106" s="26"/>
      <c r="AS106" s="26"/>
    </row>
    <row r="107" spans="1:45" ht="15.75" customHeight="1">
      <c r="A107" s="22"/>
      <c r="E107" s="26"/>
      <c r="AS107" s="26"/>
    </row>
    <row r="108" spans="1:45" ht="15.75" customHeight="1">
      <c r="A108" s="22"/>
      <c r="E108" s="26"/>
      <c r="AS108" s="26"/>
    </row>
    <row r="109" spans="1:45" ht="15.75" customHeight="1">
      <c r="A109" s="22"/>
      <c r="E109" s="26"/>
      <c r="AS109" s="26"/>
    </row>
    <row r="110" spans="1:45" ht="15.75" customHeight="1">
      <c r="A110" s="22"/>
      <c r="E110" s="26"/>
      <c r="AS110" s="26"/>
    </row>
    <row r="111" spans="1:45" ht="15.75" customHeight="1">
      <c r="A111" s="22"/>
      <c r="E111" s="26"/>
      <c r="AS111" s="26"/>
    </row>
    <row r="112" spans="1:45" ht="15.75" customHeight="1">
      <c r="A112" s="22"/>
      <c r="E112" s="26"/>
      <c r="AS112" s="26"/>
    </row>
    <row r="113" spans="1:45" ht="15.75" customHeight="1">
      <c r="A113" s="22"/>
      <c r="E113" s="26"/>
      <c r="AS113" s="26"/>
    </row>
    <row r="114" spans="1:45" ht="15.75" customHeight="1">
      <c r="A114" s="22"/>
      <c r="E114" s="26"/>
      <c r="AS114" s="26"/>
    </row>
    <row r="115" spans="1:45" ht="15.75" customHeight="1">
      <c r="A115" s="22"/>
      <c r="E115" s="26"/>
      <c r="AS115" s="26"/>
    </row>
    <row r="116" spans="1:45" ht="15.75" customHeight="1">
      <c r="A116" s="22"/>
      <c r="E116" s="26"/>
      <c r="AS116" s="26"/>
    </row>
    <row r="117" spans="1:45" ht="15.75" customHeight="1">
      <c r="A117" s="22"/>
      <c r="E117" s="26"/>
      <c r="AS117" s="26"/>
    </row>
    <row r="118" spans="1:45" ht="15.75" customHeight="1">
      <c r="A118" s="22"/>
      <c r="E118" s="26"/>
      <c r="AS118" s="26"/>
    </row>
    <row r="119" spans="1:45" ht="15.75" customHeight="1">
      <c r="A119" s="22"/>
      <c r="E119" s="26"/>
      <c r="AS119" s="26"/>
    </row>
    <row r="120" spans="1:45" ht="15.75" customHeight="1">
      <c r="A120" s="22"/>
      <c r="E120" s="26"/>
      <c r="AS120" s="26"/>
    </row>
    <row r="121" spans="1:45" ht="15.75" customHeight="1">
      <c r="A121" s="22"/>
      <c r="E121" s="26"/>
      <c r="AS121" s="26"/>
    </row>
    <row r="122" spans="1:45" ht="15.75" customHeight="1">
      <c r="A122" s="22"/>
      <c r="E122" s="26"/>
      <c r="AS122" s="26"/>
    </row>
    <row r="123" spans="1:45" ht="15.75" customHeight="1">
      <c r="A123" s="22"/>
      <c r="E123" s="26"/>
      <c r="AS123" s="26"/>
    </row>
    <row r="124" spans="1:45" ht="15.75" customHeight="1">
      <c r="A124" s="22"/>
      <c r="E124" s="26"/>
      <c r="AS124" s="26"/>
    </row>
    <row r="125" spans="1:45" ht="15.75" customHeight="1">
      <c r="A125" s="22"/>
      <c r="E125" s="26"/>
      <c r="AS125" s="26"/>
    </row>
    <row r="126" spans="1:45" ht="15.75" customHeight="1">
      <c r="A126" s="22"/>
      <c r="E126" s="26"/>
      <c r="AS126" s="26"/>
    </row>
    <row r="127" spans="1:45" ht="15.75" customHeight="1">
      <c r="A127" s="22"/>
      <c r="E127" s="26"/>
      <c r="AS127" s="26"/>
    </row>
    <row r="128" spans="1:45" ht="15.75" customHeight="1">
      <c r="A128" s="22"/>
      <c r="E128" s="26"/>
      <c r="AS128" s="26"/>
    </row>
    <row r="129" spans="1:45" ht="15.75" customHeight="1">
      <c r="A129" s="22"/>
      <c r="E129" s="26"/>
      <c r="AS129" s="26"/>
    </row>
    <row r="130" spans="1:45" ht="15.75" customHeight="1">
      <c r="A130" s="22"/>
      <c r="E130" s="26"/>
      <c r="AS130" s="26"/>
    </row>
    <row r="131" spans="1:45" ht="15.75" customHeight="1">
      <c r="A131" s="22"/>
      <c r="E131" s="26"/>
      <c r="AS131" s="26"/>
    </row>
    <row r="132" spans="1:45" ht="15.75" customHeight="1">
      <c r="A132" s="22"/>
      <c r="E132" s="26"/>
      <c r="AS132" s="26"/>
    </row>
    <row r="133" spans="1:45" ht="15.75" customHeight="1">
      <c r="A133" s="22"/>
      <c r="E133" s="26"/>
      <c r="AS133" s="26"/>
    </row>
    <row r="134" spans="1:45" ht="15.75" customHeight="1">
      <c r="A134" s="22"/>
      <c r="E134" s="26"/>
      <c r="AS134" s="26"/>
    </row>
    <row r="135" spans="1:45" ht="15.75" customHeight="1">
      <c r="A135" s="22"/>
      <c r="E135" s="26"/>
      <c r="AS135" s="26"/>
    </row>
    <row r="136" spans="1:45" ht="15.75" customHeight="1">
      <c r="A136" s="22"/>
      <c r="E136" s="26"/>
      <c r="AS136" s="26"/>
    </row>
    <row r="137" spans="1:45" ht="15.75" customHeight="1">
      <c r="A137" s="22"/>
      <c r="E137" s="26"/>
      <c r="AS137" s="26"/>
    </row>
    <row r="138" spans="1:45" ht="15.75" customHeight="1">
      <c r="A138" s="22"/>
      <c r="E138" s="26"/>
      <c r="AS138" s="26"/>
    </row>
    <row r="139" spans="1:45" ht="15.75" customHeight="1">
      <c r="A139" s="22"/>
      <c r="E139" s="26"/>
      <c r="AS139" s="26"/>
    </row>
    <row r="140" spans="1:45" ht="15.75" customHeight="1">
      <c r="A140" s="22"/>
      <c r="E140" s="26"/>
      <c r="AS140" s="26"/>
    </row>
    <row r="141" spans="1:45" ht="15.75" customHeight="1">
      <c r="A141" s="22"/>
      <c r="E141" s="26"/>
      <c r="AS141" s="26"/>
    </row>
    <row r="142" spans="1:45" ht="15.75" customHeight="1">
      <c r="A142" s="22"/>
      <c r="E142" s="26"/>
      <c r="AS142" s="26"/>
    </row>
    <row r="143" spans="1:45" ht="15.75" customHeight="1">
      <c r="A143" s="22"/>
      <c r="E143" s="26"/>
      <c r="AS143" s="26"/>
    </row>
    <row r="144" spans="1:45" ht="15.75" customHeight="1">
      <c r="A144" s="22"/>
      <c r="E144" s="26"/>
      <c r="AS144" s="26"/>
    </row>
    <row r="145" spans="1:45" ht="15.75" customHeight="1">
      <c r="A145" s="22"/>
      <c r="E145" s="26"/>
      <c r="AS145" s="26"/>
    </row>
    <row r="146" spans="1:45" ht="15.75" customHeight="1">
      <c r="A146" s="22"/>
      <c r="E146" s="26"/>
      <c r="AS146" s="26"/>
    </row>
    <row r="147" spans="1:45" ht="15.75" customHeight="1">
      <c r="A147" s="22"/>
      <c r="E147" s="26"/>
      <c r="AS147" s="26"/>
    </row>
    <row r="148" spans="1:45" ht="15.75" customHeight="1">
      <c r="A148" s="22"/>
      <c r="E148" s="26"/>
      <c r="AS148" s="26"/>
    </row>
    <row r="149" spans="1:45" ht="15.75" customHeight="1">
      <c r="A149" s="22"/>
      <c r="E149" s="26"/>
      <c r="AS149" s="26"/>
    </row>
    <row r="150" spans="1:45" ht="15.75" customHeight="1">
      <c r="A150" s="22"/>
      <c r="E150" s="26"/>
      <c r="AS150" s="26"/>
    </row>
    <row r="151" spans="1:45" ht="15.75" customHeight="1">
      <c r="A151" s="22"/>
      <c r="E151" s="26"/>
      <c r="AS151" s="26"/>
    </row>
    <row r="152" spans="1:45" ht="15.75" customHeight="1">
      <c r="A152" s="22"/>
      <c r="E152" s="26"/>
      <c r="AS152" s="26"/>
    </row>
    <row r="153" spans="1:45" ht="15.75" customHeight="1">
      <c r="A153" s="22"/>
      <c r="E153" s="26"/>
      <c r="AS153" s="26"/>
    </row>
    <row r="154" spans="1:45" ht="15.75" customHeight="1">
      <c r="A154" s="22"/>
      <c r="E154" s="26"/>
      <c r="AS154" s="26"/>
    </row>
    <row r="155" spans="1:45" ht="15.75" customHeight="1">
      <c r="A155" s="22"/>
      <c r="E155" s="26"/>
      <c r="AS155" s="26"/>
    </row>
    <row r="156" spans="1:45" ht="15.75" customHeight="1">
      <c r="A156" s="22"/>
      <c r="E156" s="26"/>
      <c r="AS156" s="26"/>
    </row>
    <row r="157" spans="1:45" ht="15.75" customHeight="1">
      <c r="A157" s="22"/>
      <c r="E157" s="26"/>
      <c r="AS157" s="26"/>
    </row>
    <row r="158" spans="1:45" ht="15.75" customHeight="1">
      <c r="A158" s="22"/>
      <c r="E158" s="26"/>
      <c r="AS158" s="26"/>
    </row>
    <row r="159" spans="1:45" ht="15.75" customHeight="1">
      <c r="A159" s="22"/>
      <c r="E159" s="26"/>
      <c r="AS159" s="26"/>
    </row>
    <row r="160" spans="1:45" ht="15.75" customHeight="1">
      <c r="A160" s="22"/>
      <c r="E160" s="26"/>
      <c r="AS160" s="26"/>
    </row>
    <row r="161" spans="1:45" ht="15.75" customHeight="1">
      <c r="A161" s="22"/>
      <c r="E161" s="26"/>
      <c r="AS161" s="26"/>
    </row>
    <row r="162" spans="1:45" ht="15.75" customHeight="1">
      <c r="A162" s="22"/>
      <c r="E162" s="26"/>
      <c r="AS162" s="26"/>
    </row>
    <row r="163" spans="1:45" ht="15.75" customHeight="1">
      <c r="A163" s="22"/>
      <c r="E163" s="26"/>
      <c r="AS163" s="26"/>
    </row>
    <row r="164" spans="1:45" ht="15.75" customHeight="1">
      <c r="A164" s="22"/>
      <c r="E164" s="26"/>
      <c r="AS164" s="26"/>
    </row>
    <row r="165" spans="1:45" ht="15.75" customHeight="1">
      <c r="A165" s="22"/>
      <c r="E165" s="26"/>
      <c r="AS165" s="26"/>
    </row>
    <row r="166" spans="1:45" ht="15.75" customHeight="1">
      <c r="A166" s="22"/>
      <c r="E166" s="26"/>
      <c r="AS166" s="26"/>
    </row>
    <row r="167" spans="1:45" ht="15.75" customHeight="1">
      <c r="A167" s="22"/>
      <c r="E167" s="26"/>
      <c r="AS167" s="26"/>
    </row>
    <row r="168" spans="1:45" ht="15.75" customHeight="1">
      <c r="A168" s="22"/>
      <c r="E168" s="26"/>
      <c r="AS168" s="26"/>
    </row>
    <row r="169" spans="1:45" ht="15.75" customHeight="1">
      <c r="A169" s="22"/>
      <c r="E169" s="26"/>
      <c r="AS169" s="26"/>
    </row>
    <row r="170" spans="1:45" ht="15.75" customHeight="1">
      <c r="A170" s="22"/>
      <c r="E170" s="26"/>
      <c r="AS170" s="26"/>
    </row>
    <row r="171" spans="1:45" ht="15.75" customHeight="1">
      <c r="A171" s="22"/>
      <c r="E171" s="26"/>
      <c r="AS171" s="26"/>
    </row>
    <row r="172" spans="1:45" ht="15.75" customHeight="1">
      <c r="A172" s="22"/>
      <c r="E172" s="26"/>
      <c r="AS172" s="26"/>
    </row>
    <row r="173" spans="1:45" ht="15.75" customHeight="1">
      <c r="A173" s="22"/>
      <c r="E173" s="26"/>
      <c r="AS173" s="26"/>
    </row>
    <row r="174" spans="1:45" ht="15.75" customHeight="1">
      <c r="A174" s="22"/>
      <c r="E174" s="26"/>
      <c r="AS174" s="26"/>
    </row>
    <row r="175" spans="1:45" ht="15.75" customHeight="1">
      <c r="A175" s="22"/>
      <c r="E175" s="26"/>
      <c r="AS175" s="26"/>
    </row>
    <row r="176" spans="1:45" ht="15.75" customHeight="1">
      <c r="A176" s="22"/>
      <c r="E176" s="26"/>
      <c r="AS176" s="26"/>
    </row>
    <row r="177" spans="1:45" ht="15.75" customHeight="1">
      <c r="A177" s="22"/>
      <c r="E177" s="26"/>
      <c r="AS177" s="26"/>
    </row>
    <row r="178" spans="1:45" ht="15.75" customHeight="1">
      <c r="A178" s="22"/>
      <c r="E178" s="26"/>
      <c r="AS178" s="26"/>
    </row>
    <row r="179" spans="1:45" ht="15.75" customHeight="1">
      <c r="A179" s="22"/>
      <c r="E179" s="26"/>
      <c r="AS179" s="26"/>
    </row>
    <row r="180" spans="1:45" ht="15.75" customHeight="1">
      <c r="A180" s="22"/>
      <c r="E180" s="26"/>
      <c r="AS180" s="26"/>
    </row>
    <row r="181" spans="1:45" ht="15.75" customHeight="1">
      <c r="A181" s="22"/>
      <c r="E181" s="26"/>
      <c r="AS181" s="26"/>
    </row>
    <row r="182" spans="1:45" ht="15.75" customHeight="1">
      <c r="A182" s="22"/>
      <c r="E182" s="26"/>
      <c r="AS182" s="26"/>
    </row>
    <row r="183" spans="1:45" ht="15.75" customHeight="1">
      <c r="A183" s="22"/>
      <c r="E183" s="26"/>
      <c r="AS183" s="26"/>
    </row>
    <row r="184" spans="1:45" ht="15.75" customHeight="1">
      <c r="A184" s="22"/>
      <c r="E184" s="26"/>
      <c r="AS184" s="26"/>
    </row>
    <row r="185" spans="1:45" ht="15.75" customHeight="1">
      <c r="A185" s="22"/>
      <c r="E185" s="26"/>
      <c r="AS185" s="26"/>
    </row>
    <row r="186" spans="1:45" ht="15.75" customHeight="1">
      <c r="A186" s="22"/>
      <c r="E186" s="26"/>
      <c r="AS186" s="26"/>
    </row>
    <row r="187" spans="1:45" ht="15.75" customHeight="1">
      <c r="A187" s="22"/>
      <c r="E187" s="26"/>
      <c r="AS187" s="26"/>
    </row>
    <row r="188" spans="1:45" ht="15.75" customHeight="1">
      <c r="A188" s="22"/>
      <c r="E188" s="26"/>
      <c r="AS188" s="26"/>
    </row>
    <row r="189" spans="1:45" ht="15.75" customHeight="1">
      <c r="A189" s="22"/>
      <c r="E189" s="26"/>
      <c r="AS189" s="26"/>
    </row>
    <row r="190" spans="1:45" ht="15.75" customHeight="1">
      <c r="A190" s="22"/>
      <c r="E190" s="26"/>
      <c r="AS190" s="26"/>
    </row>
    <row r="191" spans="1:45" ht="15.75" customHeight="1">
      <c r="A191" s="22"/>
      <c r="E191" s="26"/>
      <c r="AS191" s="26"/>
    </row>
    <row r="192" spans="1:45" ht="15.75" customHeight="1">
      <c r="A192" s="22"/>
      <c r="E192" s="26"/>
      <c r="AS192" s="26"/>
    </row>
    <row r="193" spans="1:45" ht="15.75" customHeight="1">
      <c r="A193" s="22"/>
      <c r="E193" s="26"/>
      <c r="AS193" s="26"/>
    </row>
    <row r="194" spans="1:45" ht="15.75" customHeight="1">
      <c r="A194" s="22"/>
      <c r="E194" s="26"/>
      <c r="AS194" s="26"/>
    </row>
    <row r="195" spans="1:45" ht="15.75" customHeight="1">
      <c r="A195" s="22"/>
      <c r="E195" s="26"/>
      <c r="AS195" s="26"/>
    </row>
    <row r="196" spans="1:45" ht="15.75" customHeight="1">
      <c r="A196" s="22"/>
      <c r="E196" s="26"/>
      <c r="AS196" s="26"/>
    </row>
    <row r="197" spans="1:45" ht="15.75" customHeight="1">
      <c r="A197" s="22"/>
      <c r="E197" s="26"/>
      <c r="AS197" s="26"/>
    </row>
    <row r="198" spans="1:45" ht="15.75" customHeight="1">
      <c r="A198" s="22"/>
      <c r="E198" s="26"/>
      <c r="AS198" s="26"/>
    </row>
    <row r="199" spans="1:45" ht="15.75" customHeight="1">
      <c r="A199" s="22"/>
      <c r="E199" s="26"/>
      <c r="AS199" s="26"/>
    </row>
    <row r="200" spans="1:45" ht="15.75" customHeight="1">
      <c r="A200" s="22"/>
      <c r="E200" s="26"/>
      <c r="AS200" s="26"/>
    </row>
    <row r="201" spans="1:45" ht="15.75" customHeight="1">
      <c r="A201" s="22"/>
      <c r="E201" s="26"/>
      <c r="AS201" s="26"/>
    </row>
    <row r="202" spans="1:45" ht="15.75" customHeight="1">
      <c r="A202" s="22"/>
      <c r="E202" s="26"/>
      <c r="AS202" s="26"/>
    </row>
    <row r="203" spans="1:45" ht="15.75" customHeight="1">
      <c r="A203" s="22"/>
      <c r="E203" s="26"/>
      <c r="AS203" s="26"/>
    </row>
    <row r="204" spans="1:45" ht="15.75" customHeight="1">
      <c r="A204" s="22"/>
      <c r="E204" s="26"/>
      <c r="AS204" s="26"/>
    </row>
    <row r="205" spans="1:45" ht="15.75" customHeight="1">
      <c r="A205" s="22"/>
      <c r="E205" s="26"/>
      <c r="AS205" s="26"/>
    </row>
    <row r="206" spans="1:45" ht="15.75" customHeight="1">
      <c r="A206" s="22"/>
      <c r="E206" s="26"/>
      <c r="AS206" s="26"/>
    </row>
    <row r="207" spans="1:45" ht="15.75" customHeight="1">
      <c r="A207" s="22"/>
      <c r="E207" s="26"/>
      <c r="AS207" s="26"/>
    </row>
    <row r="208" spans="1:45" ht="15.75" customHeight="1">
      <c r="A208" s="22"/>
      <c r="E208" s="26"/>
      <c r="AS208" s="26"/>
    </row>
    <row r="209" spans="1:45" ht="15.75" customHeight="1">
      <c r="A209" s="22"/>
      <c r="E209" s="26"/>
      <c r="AS209" s="26"/>
    </row>
    <row r="210" spans="1:45" ht="15.75" customHeight="1">
      <c r="A210" s="22"/>
      <c r="E210" s="26"/>
      <c r="AS210" s="26"/>
    </row>
    <row r="211" spans="1:45" ht="15.75" customHeight="1">
      <c r="A211" s="22"/>
      <c r="E211" s="26"/>
      <c r="AS211" s="26"/>
    </row>
    <row r="212" spans="1:45" ht="15.75" customHeight="1">
      <c r="A212" s="22"/>
      <c r="E212" s="26"/>
      <c r="AS212" s="26"/>
    </row>
    <row r="213" spans="1:45" ht="15.75" customHeight="1">
      <c r="A213" s="22"/>
      <c r="E213" s="26"/>
      <c r="AS213" s="26"/>
    </row>
    <row r="214" spans="1:45" ht="15.75" customHeight="1">
      <c r="A214" s="22"/>
      <c r="E214" s="26"/>
      <c r="AS214" s="26"/>
    </row>
    <row r="215" spans="1:45" ht="15.75" customHeight="1">
      <c r="A215" s="22"/>
      <c r="E215" s="26"/>
      <c r="AS215" s="26"/>
    </row>
    <row r="216" spans="1:45" ht="15.75" customHeight="1">
      <c r="A216" s="22"/>
      <c r="E216" s="26"/>
      <c r="AS216" s="26"/>
    </row>
    <row r="217" spans="1:45" ht="15.75" customHeight="1">
      <c r="A217" s="22"/>
      <c r="E217" s="26"/>
      <c r="AS217" s="26"/>
    </row>
    <row r="218" spans="1:45" ht="15.75" customHeight="1">
      <c r="A218" s="22"/>
      <c r="E218" s="26"/>
      <c r="AS218" s="26"/>
    </row>
    <row r="219" spans="1:45" ht="15.75" customHeight="1">
      <c r="A219" s="22"/>
      <c r="E219" s="26"/>
      <c r="AS219" s="26"/>
    </row>
    <row r="220" spans="1:45" ht="15.75" customHeight="1">
      <c r="A220" s="22"/>
      <c r="E220" s="26"/>
      <c r="AS220" s="26"/>
    </row>
    <row r="221" spans="1:45" ht="15.75" customHeight="1">
      <c r="A221" s="22"/>
      <c r="E221" s="26"/>
      <c r="AS221" s="26"/>
    </row>
    <row r="222" spans="1:45" ht="15.75" customHeight="1">
      <c r="A222" s="22"/>
      <c r="E222" s="26"/>
      <c r="AS222" s="26"/>
    </row>
    <row r="223" spans="1:45" ht="15.75" customHeight="1">
      <c r="A223" s="22"/>
      <c r="E223" s="26"/>
      <c r="AS223" s="26"/>
    </row>
    <row r="224" spans="1:45" ht="15.75" customHeight="1">
      <c r="A224" s="22"/>
      <c r="E224" s="26"/>
      <c r="AS224" s="26"/>
    </row>
    <row r="225" spans="1:45" ht="15.75" customHeight="1">
      <c r="A225" s="22"/>
      <c r="E225" s="26"/>
      <c r="AS225" s="26"/>
    </row>
    <row r="226" spans="1:45" ht="15.75" customHeight="1">
      <c r="A226" s="22"/>
      <c r="E226" s="26"/>
      <c r="AS226" s="26"/>
    </row>
    <row r="227" spans="1:45" ht="15.75" customHeight="1">
      <c r="A227" s="22"/>
      <c r="E227" s="26"/>
      <c r="AS227" s="26"/>
    </row>
    <row r="228" spans="1:45" ht="15.75" customHeight="1">
      <c r="A228" s="22"/>
      <c r="E228" s="26"/>
      <c r="AS228" s="26"/>
    </row>
    <row r="229" spans="1:45" ht="15.75" customHeight="1">
      <c r="A229" s="22"/>
      <c r="E229" s="26"/>
      <c r="AS229" s="26"/>
    </row>
    <row r="230" spans="1:45" ht="15.75" customHeight="1">
      <c r="A230" s="22"/>
      <c r="E230" s="26"/>
      <c r="AS230" s="26"/>
    </row>
    <row r="231" spans="1:45" ht="15.75" customHeight="1">
      <c r="A231" s="22"/>
      <c r="E231" s="26"/>
      <c r="AS231" s="26"/>
    </row>
    <row r="232" spans="1:45" ht="15.75" customHeight="1">
      <c r="A232" s="22"/>
      <c r="E232" s="26"/>
      <c r="AS232" s="26"/>
    </row>
    <row r="233" spans="1:45" ht="15.75" customHeight="1">
      <c r="A233" s="22"/>
      <c r="E233" s="26"/>
      <c r="AS233" s="26"/>
    </row>
    <row r="234" spans="1:45" ht="15.75" customHeight="1">
      <c r="A234" s="22"/>
      <c r="E234" s="26"/>
      <c r="AS234" s="26"/>
    </row>
    <row r="235" spans="1:45" ht="15.75" customHeight="1">
      <c r="A235" s="22"/>
      <c r="E235" s="26"/>
      <c r="AS235" s="26"/>
    </row>
    <row r="236" spans="1:45" ht="15.75" customHeight="1">
      <c r="A236" s="22"/>
      <c r="E236" s="26"/>
      <c r="AS236" s="26"/>
    </row>
    <row r="237" spans="1:45" ht="15.75" customHeight="1">
      <c r="A237" s="22"/>
      <c r="E237" s="26"/>
      <c r="AS237" s="26"/>
    </row>
    <row r="238" spans="1:45" ht="15.75" customHeight="1">
      <c r="A238" s="22"/>
      <c r="E238" s="26"/>
      <c r="AS238" s="26"/>
    </row>
    <row r="239" spans="1:45" ht="15.75" customHeight="1">
      <c r="A239" s="22"/>
      <c r="E239" s="26"/>
      <c r="AS239" s="26"/>
    </row>
    <row r="240" spans="1:45" ht="15.75" customHeight="1">
      <c r="A240" s="22"/>
      <c r="E240" s="26"/>
      <c r="AS240" s="26"/>
    </row>
    <row r="241" spans="1:45" ht="15.75" customHeight="1">
      <c r="A241" s="22"/>
      <c r="E241" s="26"/>
      <c r="AS241" s="26"/>
    </row>
    <row r="242" spans="1:45" ht="15.75" customHeight="1">
      <c r="A242" s="22"/>
      <c r="E242" s="26"/>
      <c r="AS242" s="26"/>
    </row>
    <row r="243" spans="1:45" ht="15.75" customHeight="1">
      <c r="A243" s="22"/>
      <c r="E243" s="26"/>
      <c r="AS243" s="26"/>
    </row>
    <row r="244" spans="1:45" ht="15.75" customHeight="1">
      <c r="A244" s="22"/>
      <c r="E244" s="26"/>
      <c r="AS244" s="26"/>
    </row>
    <row r="245" spans="1:45" ht="15.75" customHeight="1">
      <c r="A245" s="22"/>
      <c r="E245" s="26"/>
      <c r="AS245" s="26"/>
    </row>
    <row r="246" spans="1:45" ht="15.75" customHeight="1">
      <c r="A246" s="22"/>
      <c r="E246" s="26"/>
      <c r="AS246" s="26"/>
    </row>
    <row r="247" spans="1:45" ht="15.75" customHeight="1">
      <c r="A247" s="22"/>
      <c r="E247" s="26"/>
      <c r="AS247" s="26"/>
    </row>
    <row r="248" spans="1:45" ht="15.75" customHeight="1">
      <c r="A248" s="22"/>
      <c r="E248" s="26"/>
      <c r="AS248" s="26"/>
    </row>
    <row r="249" spans="1:45" ht="15.75" customHeight="1">
      <c r="A249" s="22"/>
      <c r="E249" s="26"/>
      <c r="AS249" s="26"/>
    </row>
    <row r="250" spans="1:45" ht="15.75" customHeight="1">
      <c r="A250" s="22"/>
      <c r="E250" s="26"/>
      <c r="AS250" s="26"/>
    </row>
    <row r="251" spans="1:45" ht="15.75" customHeight="1">
      <c r="A251" s="22"/>
      <c r="E251" s="26"/>
      <c r="AS251" s="26"/>
    </row>
    <row r="252" spans="1:45" ht="15.75" customHeight="1">
      <c r="A252" s="22"/>
      <c r="E252" s="26"/>
      <c r="AS252" s="26"/>
    </row>
    <row r="253" spans="1:45" ht="15.75" customHeight="1">
      <c r="A253" s="22"/>
      <c r="E253" s="26"/>
      <c r="AS253" s="26"/>
    </row>
    <row r="254" spans="1:45" ht="15.75" customHeight="1">
      <c r="A254" s="22"/>
      <c r="E254" s="26"/>
      <c r="AS254" s="26"/>
    </row>
    <row r="255" spans="1:45" ht="15.75" customHeight="1">
      <c r="A255" s="22"/>
      <c r="E255" s="26"/>
      <c r="AS255" s="26"/>
    </row>
    <row r="256" spans="1:45" ht="15.75" customHeight="1">
      <c r="A256" s="22"/>
      <c r="E256" s="26"/>
      <c r="AS256" s="26"/>
    </row>
    <row r="257" spans="1:45" ht="15.75" customHeight="1">
      <c r="A257" s="22"/>
      <c r="E257" s="26"/>
      <c r="AS257" s="26"/>
    </row>
    <row r="258" spans="1:45" ht="15.75" customHeight="1">
      <c r="A258" s="22"/>
      <c r="E258" s="26"/>
      <c r="AS258" s="26"/>
    </row>
    <row r="259" spans="1:45" ht="15.75" customHeight="1">
      <c r="A259" s="22"/>
      <c r="E259" s="26"/>
      <c r="AS259" s="26"/>
    </row>
    <row r="260" spans="1:45" ht="15.75" customHeight="1">
      <c r="A260" s="22"/>
      <c r="E260" s="26"/>
      <c r="AS260" s="26"/>
    </row>
    <row r="261" spans="1:45" ht="15.75" customHeight="1">
      <c r="A261" s="22"/>
      <c r="E261" s="26"/>
      <c r="AS261" s="26"/>
    </row>
    <row r="262" spans="1:45" ht="15.75" customHeight="1">
      <c r="A262" s="22"/>
      <c r="E262" s="26"/>
      <c r="AS262" s="26"/>
    </row>
    <row r="263" spans="1:45" ht="15.75" customHeight="1">
      <c r="A263" s="22"/>
      <c r="E263" s="26"/>
      <c r="AS263" s="26"/>
    </row>
    <row r="264" spans="1:45" ht="15.75" customHeight="1">
      <c r="A264" s="22"/>
      <c r="E264" s="26"/>
      <c r="AS264" s="26"/>
    </row>
    <row r="265" spans="1:45" ht="15.75" customHeight="1">
      <c r="A265" s="22"/>
      <c r="E265" s="26"/>
      <c r="AS265" s="26"/>
    </row>
    <row r="266" spans="1:45" ht="15.75" customHeight="1">
      <c r="A266" s="22"/>
      <c r="E266" s="26"/>
      <c r="AS266" s="26"/>
    </row>
    <row r="267" spans="1:45" ht="15.75" customHeight="1">
      <c r="A267" s="22"/>
      <c r="E267" s="26"/>
      <c r="AS267" s="26"/>
    </row>
    <row r="268" spans="1:45" ht="15.75" customHeight="1">
      <c r="A268" s="22"/>
      <c r="E268" s="26"/>
      <c r="AS268" s="26"/>
    </row>
    <row r="269" spans="1:45" ht="15.75" customHeight="1">
      <c r="A269" s="22"/>
      <c r="E269" s="26"/>
      <c r="AS269" s="26"/>
    </row>
    <row r="270" spans="1:45" ht="15.75" customHeight="1">
      <c r="A270" s="22"/>
      <c r="E270" s="26"/>
      <c r="AS270" s="26"/>
    </row>
    <row r="271" spans="1:45" ht="15.75" customHeight="1">
      <c r="A271" s="22"/>
      <c r="E271" s="26"/>
      <c r="AS271" s="26"/>
    </row>
    <row r="272" spans="1:45" ht="15.75" customHeight="1">
      <c r="A272" s="22"/>
      <c r="E272" s="26"/>
      <c r="AS272" s="26"/>
    </row>
    <row r="273" spans="1:45" ht="15.75" customHeight="1">
      <c r="A273" s="22"/>
      <c r="E273" s="26"/>
      <c r="AS273" s="26"/>
    </row>
    <row r="274" spans="1:45" ht="15.75" customHeight="1">
      <c r="A274" s="22"/>
      <c r="E274" s="26"/>
      <c r="AS274" s="26"/>
    </row>
    <row r="275" spans="1:45" ht="15.75" customHeight="1">
      <c r="A275" s="22"/>
      <c r="E275" s="26"/>
      <c r="AS275" s="26"/>
    </row>
    <row r="276" spans="1:45" ht="15.75" customHeight="1">
      <c r="A276" s="22"/>
      <c r="E276" s="26"/>
      <c r="AS276" s="26"/>
    </row>
    <row r="277" spans="1:45" ht="15.75" customHeight="1">
      <c r="A277" s="22"/>
      <c r="E277" s="26"/>
      <c r="AS277" s="26"/>
    </row>
    <row r="278" spans="1:45" ht="15.75" customHeight="1">
      <c r="A278" s="22"/>
      <c r="E278" s="26"/>
      <c r="AS278" s="26"/>
    </row>
    <row r="279" spans="1:45" ht="15.75" customHeight="1">
      <c r="A279" s="22"/>
      <c r="E279" s="26"/>
      <c r="AS279" s="26"/>
    </row>
    <row r="280" spans="1:45" ht="15.75" customHeight="1">
      <c r="A280" s="22"/>
      <c r="E280" s="26"/>
      <c r="AS280" s="26"/>
    </row>
    <row r="281" spans="1:45" ht="15.75" customHeight="1">
      <c r="A281" s="22"/>
      <c r="E281" s="26"/>
      <c r="AS281" s="26"/>
    </row>
    <row r="282" spans="1:45" ht="15.75" customHeight="1">
      <c r="A282" s="22"/>
      <c r="E282" s="26"/>
      <c r="AS282" s="26"/>
    </row>
    <row r="283" spans="1:45" ht="15.75" customHeight="1">
      <c r="A283" s="22"/>
      <c r="E283" s="26"/>
      <c r="AS283" s="26"/>
    </row>
    <row r="284" spans="1:45" ht="15.75" customHeight="1">
      <c r="A284" s="22"/>
      <c r="E284" s="26"/>
      <c r="AS284" s="26"/>
    </row>
    <row r="285" spans="1:45" ht="15.75" customHeight="1">
      <c r="A285" s="22"/>
      <c r="E285" s="26"/>
      <c r="AS285" s="26"/>
    </row>
    <row r="286" spans="1:45" ht="15.75" customHeight="1">
      <c r="A286" s="22"/>
      <c r="E286" s="26"/>
      <c r="AS286" s="26"/>
    </row>
    <row r="287" spans="1:45" ht="15.75" customHeight="1">
      <c r="A287" s="22"/>
      <c r="E287" s="26"/>
      <c r="AS287" s="26"/>
    </row>
    <row r="288" spans="1:45" ht="15.75" customHeight="1">
      <c r="A288" s="22"/>
      <c r="E288" s="26"/>
      <c r="AS288" s="26"/>
    </row>
    <row r="289" spans="1:45" ht="15.75" customHeight="1">
      <c r="A289" s="22"/>
      <c r="E289" s="26"/>
      <c r="AS289" s="26"/>
    </row>
    <row r="290" spans="1:45" ht="15.75" customHeight="1">
      <c r="A290" s="22"/>
      <c r="E290" s="26"/>
      <c r="AS290" s="26"/>
    </row>
    <row r="291" spans="1:45" ht="15.75" customHeight="1">
      <c r="A291" s="22"/>
      <c r="E291" s="26"/>
      <c r="AS291" s="26"/>
    </row>
    <row r="292" spans="1:45" ht="15.75" customHeight="1">
      <c r="A292" s="22"/>
      <c r="E292" s="26"/>
      <c r="AS292" s="26"/>
    </row>
    <row r="293" spans="1:45" ht="15.75" customHeight="1">
      <c r="A293" s="22"/>
      <c r="E293" s="26"/>
      <c r="AS293" s="26"/>
    </row>
    <row r="294" spans="1:45" ht="15.75" customHeight="1">
      <c r="A294" s="22"/>
      <c r="E294" s="26"/>
      <c r="AS294" s="26"/>
    </row>
    <row r="295" spans="1:45" ht="15.75" customHeight="1">
      <c r="A295" s="22"/>
      <c r="E295" s="26"/>
      <c r="AS295" s="26"/>
    </row>
    <row r="296" spans="1:45" ht="15.75" customHeight="1">
      <c r="A296" s="22"/>
      <c r="E296" s="26"/>
      <c r="AS296" s="26"/>
    </row>
    <row r="297" spans="1:45" ht="15.75" customHeight="1">
      <c r="A297" s="22"/>
      <c r="E297" s="26"/>
      <c r="AS297" s="26"/>
    </row>
    <row r="298" spans="1:45" ht="15.75" customHeight="1">
      <c r="A298" s="22"/>
      <c r="E298" s="26"/>
      <c r="AS298" s="26"/>
    </row>
    <row r="299" spans="1:45" ht="15.75" customHeight="1">
      <c r="A299" s="22"/>
      <c r="E299" s="26"/>
      <c r="AS299" s="26"/>
    </row>
    <row r="300" spans="1:45" ht="15.75" customHeight="1">
      <c r="A300" s="22"/>
      <c r="E300" s="26"/>
      <c r="AS300" s="26"/>
    </row>
    <row r="301" spans="1:45" ht="15.75" customHeight="1">
      <c r="A301" s="22"/>
      <c r="E301" s="26"/>
      <c r="AS301" s="26"/>
    </row>
    <row r="302" spans="1:45" ht="15.75" customHeight="1">
      <c r="A302" s="22"/>
      <c r="E302" s="26"/>
      <c r="AS302" s="26"/>
    </row>
    <row r="303" spans="1:45" ht="15.75" customHeight="1">
      <c r="A303" s="22"/>
      <c r="E303" s="26"/>
      <c r="AS303" s="26"/>
    </row>
    <row r="304" spans="1:45" ht="15.75" customHeight="1">
      <c r="A304" s="22"/>
      <c r="E304" s="26"/>
      <c r="AS304" s="26"/>
    </row>
    <row r="305" spans="1:45" ht="15.75" customHeight="1">
      <c r="A305" s="22"/>
      <c r="E305" s="26"/>
      <c r="AS305" s="26"/>
    </row>
    <row r="306" spans="1:45" ht="15.75" customHeight="1">
      <c r="A306" s="22"/>
      <c r="E306" s="26"/>
      <c r="AS306" s="26"/>
    </row>
    <row r="307" spans="1:45" ht="15.75" customHeight="1">
      <c r="A307" s="22"/>
      <c r="E307" s="26"/>
      <c r="AS307" s="26"/>
    </row>
    <row r="308" spans="1:45" ht="15.75" customHeight="1">
      <c r="A308" s="22"/>
      <c r="E308" s="26"/>
      <c r="AS308" s="26"/>
    </row>
    <row r="309" spans="1:45" ht="15.75" customHeight="1">
      <c r="A309" s="22"/>
      <c r="E309" s="26"/>
      <c r="AS309" s="26"/>
    </row>
    <row r="310" spans="1:45" ht="15.75" customHeight="1">
      <c r="A310" s="22"/>
      <c r="E310" s="26"/>
      <c r="AS310" s="26"/>
    </row>
    <row r="311" spans="1:45" ht="15.75" customHeight="1">
      <c r="A311" s="22"/>
      <c r="E311" s="26"/>
      <c r="AS311" s="26"/>
    </row>
    <row r="312" spans="1:45" ht="15.75" customHeight="1">
      <c r="A312" s="22"/>
      <c r="E312" s="26"/>
      <c r="AS312" s="26"/>
    </row>
    <row r="313" spans="1:45" ht="15.75" customHeight="1">
      <c r="A313" s="22"/>
      <c r="E313" s="26"/>
      <c r="AS313" s="26"/>
    </row>
    <row r="314" spans="1:45" ht="15.75" customHeight="1">
      <c r="A314" s="22"/>
      <c r="E314" s="26"/>
      <c r="AS314" s="26"/>
    </row>
    <row r="315" spans="1:45" ht="15.75" customHeight="1">
      <c r="A315" s="22"/>
      <c r="E315" s="26"/>
      <c r="AS315" s="26"/>
    </row>
    <row r="316" spans="1:45" ht="15.75" customHeight="1">
      <c r="A316" s="22"/>
      <c r="E316" s="26"/>
      <c r="AS316" s="26"/>
    </row>
    <row r="317" spans="1:45" ht="15.75" customHeight="1">
      <c r="A317" s="22"/>
      <c r="E317" s="26"/>
      <c r="AS317" s="26"/>
    </row>
    <row r="318" spans="1:45" ht="15.75" customHeight="1">
      <c r="A318" s="22"/>
      <c r="E318" s="26"/>
      <c r="AS318" s="26"/>
    </row>
    <row r="319" spans="1:45" ht="15.75" customHeight="1">
      <c r="A319" s="22"/>
      <c r="E319" s="26"/>
      <c r="AS319" s="26"/>
    </row>
    <row r="320" spans="1:45" ht="15.75" customHeight="1">
      <c r="A320" s="22"/>
      <c r="E320" s="26"/>
      <c r="AS320" s="26"/>
    </row>
    <row r="321" spans="1:45" ht="15.75" customHeight="1">
      <c r="A321" s="22"/>
      <c r="E321" s="26"/>
      <c r="AS321" s="26"/>
    </row>
    <row r="322" spans="1:45" ht="15.75" customHeight="1">
      <c r="A322" s="22"/>
      <c r="E322" s="26"/>
      <c r="AS322" s="26"/>
    </row>
    <row r="323" spans="1:45" ht="15.75" customHeight="1">
      <c r="A323" s="22"/>
      <c r="E323" s="26"/>
      <c r="AS323" s="26"/>
    </row>
    <row r="324" spans="1:45" ht="15.75" customHeight="1">
      <c r="A324" s="22"/>
      <c r="E324" s="26"/>
      <c r="AS324" s="26"/>
    </row>
    <row r="325" spans="1:45" ht="15.75" customHeight="1">
      <c r="A325" s="22"/>
      <c r="E325" s="26"/>
      <c r="AS325" s="26"/>
    </row>
    <row r="326" spans="1:45" ht="15.75" customHeight="1">
      <c r="A326" s="22"/>
      <c r="E326" s="26"/>
      <c r="AS326" s="26"/>
    </row>
    <row r="327" spans="1:45" ht="15.75" customHeight="1">
      <c r="A327" s="22"/>
      <c r="E327" s="26"/>
      <c r="AS327" s="26"/>
    </row>
    <row r="328" spans="1:45" ht="15.75" customHeight="1">
      <c r="A328" s="22"/>
      <c r="E328" s="26"/>
      <c r="AS328" s="26"/>
    </row>
    <row r="329" spans="1:45" ht="15.75" customHeight="1">
      <c r="A329" s="22"/>
      <c r="E329" s="26"/>
      <c r="AS329" s="26"/>
    </row>
    <row r="330" spans="1:45" ht="15.75" customHeight="1">
      <c r="A330" s="22"/>
      <c r="E330" s="26"/>
      <c r="AS330" s="26"/>
    </row>
    <row r="331" spans="1:45" ht="15.75" customHeight="1">
      <c r="A331" s="22"/>
      <c r="E331" s="26"/>
      <c r="AS331" s="26"/>
    </row>
    <row r="332" spans="1:45" ht="15.75" customHeight="1">
      <c r="A332" s="22"/>
      <c r="E332" s="26"/>
      <c r="AS332" s="26"/>
    </row>
    <row r="333" spans="1:45" ht="15.75" customHeight="1">
      <c r="A333" s="22"/>
      <c r="E333" s="26"/>
      <c r="AS333" s="26"/>
    </row>
    <row r="334" spans="1:45" ht="15.75" customHeight="1">
      <c r="A334" s="22"/>
      <c r="E334" s="26"/>
      <c r="AS334" s="26"/>
    </row>
    <row r="335" spans="1:45" ht="15.75" customHeight="1">
      <c r="A335" s="22"/>
      <c r="E335" s="26"/>
      <c r="AS335" s="26"/>
    </row>
    <row r="336" spans="1:45" ht="15.75" customHeight="1">
      <c r="A336" s="22"/>
      <c r="E336" s="26"/>
      <c r="AS336" s="26"/>
    </row>
    <row r="337" spans="1:45" ht="15.75" customHeight="1">
      <c r="A337" s="22"/>
      <c r="E337" s="26"/>
      <c r="AS337" s="26"/>
    </row>
    <row r="338" spans="1:45" ht="15.75" customHeight="1">
      <c r="A338" s="22"/>
      <c r="E338" s="26"/>
      <c r="AS338" s="26"/>
    </row>
    <row r="339" spans="1:45" ht="15.75" customHeight="1">
      <c r="A339" s="22"/>
      <c r="E339" s="26"/>
      <c r="AS339" s="26"/>
    </row>
    <row r="340" spans="1:45" ht="15.75" customHeight="1">
      <c r="A340" s="22"/>
      <c r="E340" s="26"/>
      <c r="AS340" s="26"/>
    </row>
    <row r="341" spans="1:45" ht="15.75" customHeight="1">
      <c r="A341" s="22"/>
      <c r="E341" s="26"/>
      <c r="AS341" s="26"/>
    </row>
    <row r="342" spans="1:45" ht="15.75" customHeight="1">
      <c r="A342" s="22"/>
      <c r="E342" s="26"/>
      <c r="AS342" s="26"/>
    </row>
    <row r="343" spans="1:45" ht="15.75" customHeight="1">
      <c r="A343" s="22"/>
      <c r="E343" s="26"/>
      <c r="AS343" s="26"/>
    </row>
    <row r="344" spans="1:45" ht="15.75" customHeight="1">
      <c r="A344" s="22"/>
      <c r="E344" s="26"/>
      <c r="AS344" s="26"/>
    </row>
    <row r="345" spans="1:45" ht="15.75" customHeight="1">
      <c r="A345" s="22"/>
      <c r="E345" s="26"/>
      <c r="AS345" s="26"/>
    </row>
    <row r="346" spans="1:45" ht="15.75" customHeight="1">
      <c r="A346" s="22"/>
      <c r="E346" s="26"/>
      <c r="AS346" s="26"/>
    </row>
    <row r="347" spans="1:45" ht="15.75" customHeight="1">
      <c r="A347" s="22"/>
      <c r="E347" s="26"/>
      <c r="AS347" s="26"/>
    </row>
    <row r="348" spans="1:45" ht="15.75" customHeight="1">
      <c r="A348" s="22"/>
      <c r="E348" s="26"/>
      <c r="AS348" s="26"/>
    </row>
    <row r="349" spans="1:45" ht="15.75" customHeight="1">
      <c r="A349" s="22"/>
      <c r="E349" s="26"/>
      <c r="AS349" s="26"/>
    </row>
    <row r="350" spans="1:45" ht="15.75" customHeight="1">
      <c r="A350" s="22"/>
      <c r="E350" s="26"/>
      <c r="AS350" s="26"/>
    </row>
    <row r="351" spans="1:45" ht="15.75" customHeight="1">
      <c r="A351" s="22"/>
      <c r="E351" s="26"/>
      <c r="AS351" s="26"/>
    </row>
    <row r="352" spans="1:45" ht="15.75" customHeight="1">
      <c r="A352" s="22"/>
      <c r="E352" s="26"/>
      <c r="AS352" s="26"/>
    </row>
    <row r="353" spans="1:45" ht="15.75" customHeight="1">
      <c r="A353" s="22"/>
      <c r="E353" s="26"/>
      <c r="AS353" s="26"/>
    </row>
    <row r="354" spans="1:45" ht="15.75" customHeight="1">
      <c r="A354" s="22"/>
      <c r="E354" s="26"/>
      <c r="AS354" s="26"/>
    </row>
    <row r="355" spans="1:45" ht="15.75" customHeight="1">
      <c r="A355" s="22"/>
      <c r="E355" s="26"/>
      <c r="AS355" s="26"/>
    </row>
    <row r="356" spans="1:45" ht="15.75" customHeight="1">
      <c r="A356" s="22"/>
      <c r="E356" s="26"/>
      <c r="AS356" s="26"/>
    </row>
    <row r="357" spans="1:45" ht="15.75" customHeight="1">
      <c r="A357" s="22"/>
      <c r="E357" s="26"/>
      <c r="AS357" s="26"/>
    </row>
    <row r="358" spans="1:45" ht="15.75" customHeight="1">
      <c r="A358" s="22"/>
      <c r="E358" s="26"/>
      <c r="AS358" s="26"/>
    </row>
    <row r="359" spans="1:45" ht="15.75" customHeight="1">
      <c r="A359" s="22"/>
      <c r="E359" s="26"/>
      <c r="AS359" s="26"/>
    </row>
    <row r="360" spans="1:45" ht="15.75" customHeight="1">
      <c r="A360" s="22"/>
      <c r="E360" s="26"/>
      <c r="AS360" s="26"/>
    </row>
    <row r="361" spans="1:45" ht="15.75" customHeight="1">
      <c r="A361" s="22"/>
      <c r="E361" s="26"/>
      <c r="AS361" s="26"/>
    </row>
    <row r="362" spans="1:45" ht="15.75" customHeight="1">
      <c r="A362" s="22"/>
      <c r="E362" s="26"/>
      <c r="AS362" s="26"/>
    </row>
    <row r="363" spans="1:45" ht="15.75" customHeight="1">
      <c r="A363" s="22"/>
      <c r="E363" s="26"/>
      <c r="AS363" s="26"/>
    </row>
    <row r="364" spans="1:45" ht="15.75" customHeight="1">
      <c r="A364" s="22"/>
      <c r="E364" s="26"/>
      <c r="AS364" s="26"/>
    </row>
    <row r="365" spans="1:45" ht="15.75" customHeight="1">
      <c r="A365" s="22"/>
      <c r="E365" s="26"/>
      <c r="AS365" s="26"/>
    </row>
    <row r="366" spans="1:45" ht="15.75" customHeight="1">
      <c r="A366" s="22"/>
      <c r="E366" s="26"/>
      <c r="AS366" s="26"/>
    </row>
    <row r="367" spans="1:45" ht="15.75" customHeight="1">
      <c r="A367" s="22"/>
      <c r="E367" s="26"/>
      <c r="AS367" s="26"/>
    </row>
    <row r="368" spans="1:45" ht="15.75" customHeight="1">
      <c r="A368" s="22"/>
      <c r="E368" s="26"/>
      <c r="AS368" s="26"/>
    </row>
    <row r="369" spans="1:45" ht="15.75" customHeight="1">
      <c r="A369" s="22"/>
      <c r="E369" s="26"/>
      <c r="AS369" s="26"/>
    </row>
    <row r="370" spans="1:45" ht="15.75" customHeight="1">
      <c r="A370" s="22"/>
      <c r="E370" s="26"/>
      <c r="AS370" s="26"/>
    </row>
    <row r="371" spans="1:45" ht="15.75" customHeight="1">
      <c r="A371" s="22"/>
      <c r="E371" s="26"/>
      <c r="AS371" s="26"/>
    </row>
    <row r="372" spans="1:45" ht="15.75" customHeight="1">
      <c r="A372" s="22"/>
      <c r="E372" s="26"/>
      <c r="AS372" s="26"/>
    </row>
    <row r="373" spans="1:45" ht="15.75" customHeight="1">
      <c r="A373" s="22"/>
      <c r="E373" s="26"/>
      <c r="AS373" s="26"/>
    </row>
    <row r="374" spans="1:45" ht="15.75" customHeight="1">
      <c r="A374" s="22"/>
      <c r="E374" s="26"/>
      <c r="AS374" s="26"/>
    </row>
    <row r="375" spans="1:45" ht="15.75" customHeight="1">
      <c r="A375" s="22"/>
      <c r="E375" s="26"/>
      <c r="AS375" s="26"/>
    </row>
    <row r="376" spans="1:45" ht="15.75" customHeight="1">
      <c r="A376" s="22"/>
      <c r="E376" s="26"/>
      <c r="AS376" s="26"/>
    </row>
    <row r="377" spans="1:45" ht="15.75" customHeight="1">
      <c r="A377" s="22"/>
      <c r="E377" s="26"/>
      <c r="AS377" s="26"/>
    </row>
    <row r="378" spans="1:45" ht="15.75" customHeight="1">
      <c r="A378" s="22"/>
      <c r="E378" s="26"/>
      <c r="AS378" s="26"/>
    </row>
    <row r="379" spans="1:45" ht="15.75" customHeight="1">
      <c r="A379" s="22"/>
      <c r="E379" s="26"/>
      <c r="AS379" s="26"/>
    </row>
    <row r="380" spans="1:45" ht="15.75" customHeight="1">
      <c r="A380" s="22"/>
      <c r="E380" s="26"/>
      <c r="AS380" s="26"/>
    </row>
    <row r="381" spans="1:45" ht="15.75" customHeight="1">
      <c r="A381" s="22"/>
      <c r="E381" s="26"/>
      <c r="AS381" s="26"/>
    </row>
    <row r="382" spans="1:45" ht="15.75" customHeight="1">
      <c r="A382" s="22"/>
      <c r="E382" s="26"/>
      <c r="AS382" s="26"/>
    </row>
    <row r="383" spans="1:45" ht="15.75" customHeight="1">
      <c r="A383" s="22"/>
      <c r="E383" s="26"/>
      <c r="AS383" s="26"/>
    </row>
    <row r="384" spans="1:45" ht="15.75" customHeight="1">
      <c r="A384" s="22"/>
      <c r="E384" s="26"/>
      <c r="AS384" s="26"/>
    </row>
    <row r="385" spans="1:45" ht="15.75" customHeight="1">
      <c r="A385" s="22"/>
      <c r="E385" s="26"/>
      <c r="AS385" s="26"/>
    </row>
    <row r="386" spans="1:45" ht="15.75" customHeight="1">
      <c r="A386" s="22"/>
      <c r="E386" s="26"/>
      <c r="AS386" s="26"/>
    </row>
    <row r="387" spans="1:45" ht="15.75" customHeight="1">
      <c r="A387" s="22"/>
      <c r="E387" s="26"/>
      <c r="AS387" s="26"/>
    </row>
    <row r="388" spans="1:45" ht="15.75" customHeight="1">
      <c r="A388" s="22"/>
      <c r="E388" s="26"/>
      <c r="AS388" s="26"/>
    </row>
    <row r="389" spans="1:45" ht="15.75" customHeight="1">
      <c r="A389" s="22"/>
      <c r="E389" s="26"/>
      <c r="AS389" s="26"/>
    </row>
    <row r="390" spans="1:45" ht="15.75" customHeight="1">
      <c r="A390" s="22"/>
      <c r="E390" s="26"/>
      <c r="AS390" s="26"/>
    </row>
    <row r="391" spans="1:45" ht="15.75" customHeight="1">
      <c r="A391" s="22"/>
      <c r="E391" s="26"/>
      <c r="AS391" s="26"/>
    </row>
    <row r="392" spans="1:45" ht="15.75" customHeight="1">
      <c r="A392" s="22"/>
      <c r="E392" s="26"/>
      <c r="AS392" s="26"/>
    </row>
    <row r="393" spans="1:45" ht="15.75" customHeight="1">
      <c r="A393" s="22"/>
      <c r="E393" s="26"/>
      <c r="AS393" s="26"/>
    </row>
    <row r="394" spans="1:45" ht="15.75" customHeight="1">
      <c r="A394" s="22"/>
      <c r="E394" s="26"/>
      <c r="AS394" s="26"/>
    </row>
    <row r="395" spans="1:45" ht="15.75" customHeight="1">
      <c r="A395" s="22"/>
      <c r="E395" s="26"/>
      <c r="AS395" s="26"/>
    </row>
    <row r="396" spans="1:45" ht="15.75" customHeight="1">
      <c r="A396" s="22"/>
      <c r="E396" s="26"/>
      <c r="AS396" s="26"/>
    </row>
    <row r="397" spans="1:45" ht="15.75" customHeight="1">
      <c r="A397" s="22"/>
      <c r="E397" s="26"/>
      <c r="AS397" s="26"/>
    </row>
    <row r="398" spans="1:45" ht="15.75" customHeight="1">
      <c r="A398" s="22"/>
      <c r="E398" s="26"/>
      <c r="AS398" s="26"/>
    </row>
    <row r="399" spans="1:45" ht="15.75" customHeight="1">
      <c r="A399" s="22"/>
      <c r="E399" s="26"/>
      <c r="AS399" s="26"/>
    </row>
    <row r="400" spans="1:45" ht="15.75" customHeight="1">
      <c r="A400" s="22"/>
      <c r="E400" s="26"/>
      <c r="AS400" s="26"/>
    </row>
    <row r="401" spans="1:45" ht="15.75" customHeight="1">
      <c r="A401" s="22"/>
      <c r="E401" s="26"/>
      <c r="AS401" s="26"/>
    </row>
    <row r="402" spans="1:45" ht="15.75" customHeight="1">
      <c r="A402" s="22"/>
      <c r="E402" s="26"/>
      <c r="AS402" s="26"/>
    </row>
    <row r="403" spans="1:45" ht="15.75" customHeight="1">
      <c r="A403" s="22"/>
      <c r="E403" s="26"/>
      <c r="AS403" s="26"/>
    </row>
    <row r="404" spans="1:45" ht="15.75" customHeight="1">
      <c r="A404" s="22"/>
      <c r="E404" s="26"/>
      <c r="AS404" s="26"/>
    </row>
    <row r="405" spans="1:45" ht="15.75" customHeight="1">
      <c r="A405" s="22"/>
      <c r="E405" s="26"/>
      <c r="AS405" s="26"/>
    </row>
    <row r="406" spans="1:45" ht="15.75" customHeight="1">
      <c r="A406" s="22"/>
      <c r="E406" s="26"/>
      <c r="AS406" s="26"/>
    </row>
    <row r="407" spans="1:45" ht="15.75" customHeight="1">
      <c r="A407" s="22"/>
      <c r="E407" s="26"/>
      <c r="AS407" s="26"/>
    </row>
    <row r="408" spans="1:45" ht="15.75" customHeight="1">
      <c r="A408" s="22"/>
      <c r="E408" s="26"/>
      <c r="AS408" s="26"/>
    </row>
    <row r="409" spans="1:45" ht="15.75" customHeight="1">
      <c r="A409" s="22"/>
      <c r="E409" s="26"/>
      <c r="AS409" s="26"/>
    </row>
    <row r="410" spans="1:45" ht="15.75" customHeight="1">
      <c r="A410" s="22"/>
      <c r="E410" s="26"/>
      <c r="AS410" s="26"/>
    </row>
    <row r="411" spans="1:45" ht="15.75" customHeight="1">
      <c r="A411" s="22"/>
      <c r="E411" s="26"/>
      <c r="AS411" s="26"/>
    </row>
    <row r="412" spans="1:45" ht="15.75" customHeight="1">
      <c r="A412" s="22"/>
      <c r="E412" s="26"/>
      <c r="AS412" s="26"/>
    </row>
    <row r="413" spans="1:45" ht="15.75" customHeight="1">
      <c r="A413" s="22"/>
      <c r="E413" s="26"/>
      <c r="AS413" s="26"/>
    </row>
    <row r="414" spans="1:45" ht="15.75" customHeight="1">
      <c r="A414" s="22"/>
      <c r="E414" s="26"/>
      <c r="AS414" s="26"/>
    </row>
    <row r="415" spans="1:45" ht="15.75" customHeight="1">
      <c r="A415" s="22"/>
      <c r="E415" s="26"/>
      <c r="AS415" s="26"/>
    </row>
    <row r="416" spans="1:45" ht="15.75" customHeight="1">
      <c r="A416" s="22"/>
      <c r="E416" s="26"/>
      <c r="AS416" s="26"/>
    </row>
    <row r="417" spans="1:45" ht="15.75" customHeight="1">
      <c r="A417" s="22"/>
      <c r="E417" s="26"/>
      <c r="AS417" s="26"/>
    </row>
    <row r="418" spans="1:45" ht="15.75" customHeight="1">
      <c r="A418" s="22"/>
      <c r="E418" s="26"/>
      <c r="AS418" s="26"/>
    </row>
    <row r="419" spans="1:45" ht="15.75" customHeight="1">
      <c r="A419" s="22"/>
      <c r="E419" s="26"/>
      <c r="AS419" s="26"/>
    </row>
    <row r="420" spans="1:45" ht="15.75" customHeight="1">
      <c r="A420" s="22"/>
      <c r="E420" s="26"/>
      <c r="AS420" s="26"/>
    </row>
    <row r="421" spans="1:45" ht="15.75" customHeight="1">
      <c r="A421" s="22"/>
      <c r="E421" s="26"/>
      <c r="AS421" s="26"/>
    </row>
    <row r="422" spans="1:45" ht="15.75" customHeight="1">
      <c r="A422" s="22"/>
      <c r="E422" s="26"/>
      <c r="AS422" s="26"/>
    </row>
    <row r="423" spans="1:45" ht="15.75" customHeight="1">
      <c r="A423" s="22"/>
      <c r="E423" s="26"/>
      <c r="AS423" s="26"/>
    </row>
    <row r="424" spans="1:45" ht="15.75" customHeight="1">
      <c r="A424" s="22"/>
      <c r="E424" s="26"/>
      <c r="AS424" s="26"/>
    </row>
    <row r="425" spans="1:45" ht="15.75" customHeight="1">
      <c r="A425" s="22"/>
      <c r="E425" s="26"/>
      <c r="AS425" s="26"/>
    </row>
    <row r="426" spans="1:45" ht="15.75" customHeight="1">
      <c r="A426" s="22"/>
      <c r="E426" s="26"/>
      <c r="AS426" s="26"/>
    </row>
    <row r="427" spans="1:45" ht="15.75" customHeight="1">
      <c r="A427" s="22"/>
      <c r="E427" s="26"/>
      <c r="AS427" s="26"/>
    </row>
    <row r="428" spans="1:45" ht="15.75" customHeight="1">
      <c r="A428" s="22"/>
      <c r="E428" s="26"/>
      <c r="AS428" s="26"/>
    </row>
    <row r="429" spans="1:45" ht="15.75" customHeight="1">
      <c r="A429" s="22"/>
      <c r="E429" s="26"/>
      <c r="AS429" s="26"/>
    </row>
    <row r="430" spans="1:45" ht="15.75" customHeight="1">
      <c r="A430" s="22"/>
      <c r="E430" s="26"/>
      <c r="AS430" s="26"/>
    </row>
    <row r="431" spans="1:45" ht="15.75" customHeight="1">
      <c r="A431" s="22"/>
      <c r="E431" s="26"/>
      <c r="AS431" s="26"/>
    </row>
    <row r="432" spans="1:45" ht="15.75" customHeight="1">
      <c r="A432" s="22"/>
      <c r="E432" s="26"/>
      <c r="AS432" s="26"/>
    </row>
    <row r="433" spans="1:45" ht="15.75" customHeight="1">
      <c r="A433" s="22"/>
      <c r="E433" s="26"/>
      <c r="AS433" s="26"/>
    </row>
    <row r="434" spans="1:45" ht="15.75" customHeight="1">
      <c r="A434" s="22"/>
      <c r="E434" s="26"/>
      <c r="AS434" s="26"/>
    </row>
    <row r="435" spans="1:45" ht="15.75" customHeight="1">
      <c r="A435" s="22"/>
      <c r="E435" s="26"/>
      <c r="AS435" s="26"/>
    </row>
    <row r="436" spans="1:45" ht="15.75" customHeight="1">
      <c r="A436" s="22"/>
      <c r="E436" s="26"/>
      <c r="AS436" s="26"/>
    </row>
    <row r="437" spans="1:45" ht="15.75" customHeight="1">
      <c r="A437" s="22"/>
      <c r="E437" s="26"/>
      <c r="AS437" s="26"/>
    </row>
    <row r="438" spans="1:45" ht="15.75" customHeight="1">
      <c r="A438" s="22"/>
      <c r="E438" s="26"/>
      <c r="AS438" s="26"/>
    </row>
    <row r="439" spans="1:45" ht="15.75" customHeight="1">
      <c r="A439" s="22"/>
      <c r="E439" s="26"/>
      <c r="AS439" s="26"/>
    </row>
    <row r="440" spans="1:45" ht="15.75" customHeight="1">
      <c r="A440" s="22"/>
      <c r="E440" s="26"/>
      <c r="AS440" s="26"/>
    </row>
    <row r="441" spans="1:45" ht="15.75" customHeight="1">
      <c r="A441" s="22"/>
      <c r="E441" s="26"/>
      <c r="AS441" s="26"/>
    </row>
    <row r="442" spans="1:45" ht="15.75" customHeight="1">
      <c r="A442" s="22"/>
      <c r="E442" s="26"/>
      <c r="AS442" s="26"/>
    </row>
    <row r="443" spans="1:45" ht="15.75" customHeight="1">
      <c r="A443" s="22"/>
      <c r="E443" s="26"/>
      <c r="AS443" s="26"/>
    </row>
    <row r="444" spans="1:45" ht="15.75" customHeight="1">
      <c r="A444" s="22"/>
      <c r="E444" s="26"/>
      <c r="AS444" s="26"/>
    </row>
    <row r="445" spans="1:45" ht="15.75" customHeight="1">
      <c r="A445" s="22"/>
      <c r="E445" s="26"/>
      <c r="AS445" s="26"/>
    </row>
    <row r="446" spans="1:45" ht="15.75" customHeight="1">
      <c r="A446" s="22"/>
      <c r="E446" s="26"/>
      <c r="AS446" s="26"/>
    </row>
    <row r="447" spans="1:45" ht="15.75" customHeight="1">
      <c r="A447" s="22"/>
      <c r="E447" s="26"/>
      <c r="AS447" s="26"/>
    </row>
    <row r="448" spans="1:45" ht="15.75" customHeight="1">
      <c r="A448" s="22"/>
      <c r="E448" s="26"/>
      <c r="AS448" s="26"/>
    </row>
    <row r="449" spans="1:45" ht="15.75" customHeight="1">
      <c r="A449" s="22"/>
      <c r="E449" s="26"/>
      <c r="AS449" s="26"/>
    </row>
    <row r="450" spans="1:45" ht="15.75" customHeight="1">
      <c r="A450" s="22"/>
      <c r="E450" s="26"/>
      <c r="AS450" s="26"/>
    </row>
    <row r="451" spans="1:45" ht="15.75" customHeight="1">
      <c r="A451" s="22"/>
      <c r="E451" s="26"/>
      <c r="AS451" s="26"/>
    </row>
    <row r="452" spans="1:45" ht="15.75" customHeight="1">
      <c r="A452" s="22"/>
      <c r="E452" s="26"/>
      <c r="AS452" s="26"/>
    </row>
    <row r="453" spans="1:45" ht="15.75" customHeight="1">
      <c r="A453" s="22"/>
      <c r="E453" s="26"/>
      <c r="AS453" s="26"/>
    </row>
    <row r="454" spans="1:45" ht="15.75" customHeight="1">
      <c r="A454" s="22"/>
      <c r="E454" s="26"/>
      <c r="AS454" s="26"/>
    </row>
    <row r="455" spans="1:45" ht="15.75" customHeight="1">
      <c r="A455" s="22"/>
      <c r="E455" s="26"/>
      <c r="AS455" s="26"/>
    </row>
    <row r="456" spans="1:45" ht="15.75" customHeight="1">
      <c r="A456" s="22"/>
      <c r="E456" s="26"/>
      <c r="AS456" s="26"/>
    </row>
    <row r="457" spans="1:45" ht="15.75" customHeight="1">
      <c r="A457" s="22"/>
      <c r="E457" s="26"/>
      <c r="AS457" s="26"/>
    </row>
    <row r="458" spans="1:45" ht="15.75" customHeight="1">
      <c r="A458" s="22"/>
      <c r="E458" s="26"/>
      <c r="AS458" s="26"/>
    </row>
    <row r="459" spans="1:45" ht="15.75" customHeight="1">
      <c r="A459" s="22"/>
      <c r="E459" s="26"/>
      <c r="AS459" s="26"/>
    </row>
    <row r="460" spans="1:45" ht="15.75" customHeight="1">
      <c r="A460" s="22"/>
      <c r="E460" s="26"/>
      <c r="AS460" s="26"/>
    </row>
    <row r="461" spans="1:45" ht="15.75" customHeight="1">
      <c r="A461" s="22"/>
      <c r="E461" s="26"/>
      <c r="AS461" s="26"/>
    </row>
    <row r="462" spans="1:45" ht="15.75" customHeight="1">
      <c r="A462" s="22"/>
      <c r="E462" s="26"/>
      <c r="AS462" s="26"/>
    </row>
    <row r="463" spans="1:45" ht="15.75" customHeight="1">
      <c r="A463" s="22"/>
      <c r="E463" s="26"/>
      <c r="AS463" s="26"/>
    </row>
    <row r="464" spans="1:45" ht="15.75" customHeight="1">
      <c r="A464" s="22"/>
      <c r="E464" s="26"/>
      <c r="AS464" s="26"/>
    </row>
    <row r="465" spans="1:45" ht="15.75" customHeight="1">
      <c r="A465" s="22"/>
      <c r="E465" s="26"/>
      <c r="AS465" s="26"/>
    </row>
    <row r="466" spans="1:45" ht="15.75" customHeight="1">
      <c r="A466" s="22"/>
      <c r="E466" s="26"/>
      <c r="AS466" s="26"/>
    </row>
    <row r="467" spans="1:45" ht="15.75" customHeight="1">
      <c r="A467" s="22"/>
      <c r="E467" s="26"/>
      <c r="AS467" s="26"/>
    </row>
    <row r="468" spans="1:45" ht="15.75" customHeight="1">
      <c r="A468" s="22"/>
      <c r="E468" s="26"/>
      <c r="AS468" s="26"/>
    </row>
    <row r="469" spans="1:45" ht="15.75" customHeight="1">
      <c r="A469" s="22"/>
      <c r="E469" s="26"/>
      <c r="AS469" s="26"/>
    </row>
    <row r="470" spans="1:45" ht="15.75" customHeight="1">
      <c r="A470" s="22"/>
      <c r="E470" s="26"/>
      <c r="AS470" s="26"/>
    </row>
    <row r="471" spans="1:45" ht="15.75" customHeight="1">
      <c r="A471" s="22"/>
      <c r="E471" s="26"/>
      <c r="AS471" s="26"/>
    </row>
    <row r="472" spans="1:45" ht="15.75" customHeight="1">
      <c r="A472" s="22"/>
      <c r="E472" s="26"/>
      <c r="AS472" s="26"/>
    </row>
    <row r="473" spans="1:45" ht="15.75" customHeight="1">
      <c r="A473" s="22"/>
      <c r="E473" s="26"/>
      <c r="AS473" s="26"/>
    </row>
    <row r="474" spans="1:45" ht="15.75" customHeight="1">
      <c r="A474" s="22"/>
      <c r="E474" s="26"/>
      <c r="AS474" s="26"/>
    </row>
    <row r="475" spans="1:45" ht="15.75" customHeight="1">
      <c r="A475" s="22"/>
      <c r="E475" s="26"/>
      <c r="AS475" s="26"/>
    </row>
    <row r="476" spans="1:45" ht="15.75" customHeight="1">
      <c r="A476" s="22"/>
      <c r="E476" s="26"/>
      <c r="AS476" s="26"/>
    </row>
    <row r="477" spans="1:45" ht="15.75" customHeight="1">
      <c r="A477" s="22"/>
      <c r="E477" s="26"/>
      <c r="AS477" s="26"/>
    </row>
    <row r="478" spans="1:45" ht="15.75" customHeight="1">
      <c r="A478" s="22"/>
      <c r="E478" s="26"/>
      <c r="AS478" s="26"/>
    </row>
    <row r="479" spans="1:45" ht="15.75" customHeight="1">
      <c r="A479" s="22"/>
      <c r="E479" s="26"/>
      <c r="AS479" s="26"/>
    </row>
    <row r="480" spans="1:45" ht="15.75" customHeight="1">
      <c r="A480" s="22"/>
      <c r="E480" s="26"/>
      <c r="AS480" s="26"/>
    </row>
    <row r="481" spans="1:45" ht="15.75" customHeight="1">
      <c r="A481" s="22"/>
      <c r="E481" s="26"/>
      <c r="AS481" s="26"/>
    </row>
    <row r="482" spans="1:45" ht="15.75" customHeight="1">
      <c r="A482" s="22"/>
      <c r="E482" s="26"/>
      <c r="AS482" s="26"/>
    </row>
    <row r="483" spans="1:45" ht="15.75" customHeight="1">
      <c r="A483" s="22"/>
      <c r="E483" s="26"/>
      <c r="AS483" s="26"/>
    </row>
    <row r="484" spans="1:45" ht="15.75" customHeight="1">
      <c r="A484" s="22"/>
      <c r="E484" s="26"/>
      <c r="AS484" s="26"/>
    </row>
    <row r="485" spans="1:45" ht="15.75" customHeight="1">
      <c r="A485" s="22"/>
      <c r="E485" s="26"/>
      <c r="AS485" s="26"/>
    </row>
    <row r="486" spans="1:45" ht="15.75" customHeight="1">
      <c r="A486" s="22"/>
      <c r="E486" s="26"/>
      <c r="AS486" s="26"/>
    </row>
    <row r="487" spans="1:45" ht="15.75" customHeight="1">
      <c r="A487" s="22"/>
      <c r="E487" s="26"/>
      <c r="AS487" s="26"/>
    </row>
    <row r="488" spans="1:45" ht="15.75" customHeight="1">
      <c r="A488" s="22"/>
      <c r="E488" s="26"/>
      <c r="AS488" s="26"/>
    </row>
    <row r="489" spans="1:45" ht="15.75" customHeight="1">
      <c r="A489" s="22"/>
      <c r="E489" s="26"/>
      <c r="AS489" s="26"/>
    </row>
    <row r="490" spans="1:45" ht="15.75" customHeight="1">
      <c r="A490" s="22"/>
      <c r="E490" s="26"/>
      <c r="AS490" s="26"/>
    </row>
    <row r="491" spans="1:45" ht="15.75" customHeight="1">
      <c r="A491" s="22"/>
      <c r="E491" s="26"/>
      <c r="AS491" s="26"/>
    </row>
    <row r="492" spans="1:45" ht="15.75" customHeight="1">
      <c r="A492" s="22"/>
      <c r="E492" s="26"/>
      <c r="AS492" s="26"/>
    </row>
    <row r="493" spans="1:45" ht="15.75" customHeight="1">
      <c r="A493" s="22"/>
      <c r="E493" s="26"/>
      <c r="AS493" s="26"/>
    </row>
    <row r="494" spans="1:45" ht="15.75" customHeight="1">
      <c r="A494" s="22"/>
      <c r="E494" s="26"/>
      <c r="AS494" s="26"/>
    </row>
    <row r="495" spans="1:45" ht="15.75" customHeight="1">
      <c r="A495" s="22"/>
      <c r="E495" s="26"/>
      <c r="AS495" s="26"/>
    </row>
    <row r="496" spans="1:45" ht="15.75" customHeight="1">
      <c r="A496" s="22"/>
      <c r="E496" s="26"/>
      <c r="AS496" s="26"/>
    </row>
    <row r="497" spans="1:45" ht="15.75" customHeight="1">
      <c r="A497" s="22"/>
      <c r="E497" s="26"/>
      <c r="AS497" s="26"/>
    </row>
    <row r="498" spans="1:45" ht="15.75" customHeight="1">
      <c r="A498" s="22"/>
      <c r="E498" s="26"/>
      <c r="AS498" s="26"/>
    </row>
    <row r="499" spans="1:45" ht="15.75" customHeight="1">
      <c r="A499" s="22"/>
      <c r="E499" s="26"/>
      <c r="AS499" s="26"/>
    </row>
    <row r="500" spans="1:45" ht="15.75" customHeight="1">
      <c r="A500" s="22"/>
      <c r="E500" s="26"/>
      <c r="AS500" s="26"/>
    </row>
    <row r="501" spans="1:45" ht="15.75" customHeight="1">
      <c r="A501" s="22"/>
      <c r="E501" s="26"/>
      <c r="AS501" s="26"/>
    </row>
    <row r="502" spans="1:45" ht="15.75" customHeight="1">
      <c r="A502" s="22"/>
      <c r="E502" s="26"/>
      <c r="AS502" s="26"/>
    </row>
    <row r="503" spans="1:45" ht="15.75" customHeight="1">
      <c r="A503" s="22"/>
      <c r="E503" s="26"/>
      <c r="AS503" s="26"/>
    </row>
    <row r="504" spans="1:45" ht="15.75" customHeight="1">
      <c r="A504" s="22"/>
      <c r="E504" s="26"/>
      <c r="AS504" s="26"/>
    </row>
    <row r="505" spans="1:45" ht="15.75" customHeight="1">
      <c r="A505" s="22"/>
      <c r="E505" s="26"/>
      <c r="AS505" s="26"/>
    </row>
    <row r="506" spans="1:45" ht="15.75" customHeight="1">
      <c r="A506" s="22"/>
      <c r="E506" s="26"/>
      <c r="AS506" s="26"/>
    </row>
    <row r="507" spans="1:45" ht="15.75" customHeight="1">
      <c r="A507" s="22"/>
      <c r="E507" s="26"/>
      <c r="AS507" s="26"/>
    </row>
    <row r="508" spans="1:45" ht="15.75" customHeight="1">
      <c r="A508" s="22"/>
      <c r="E508" s="26"/>
      <c r="AS508" s="26"/>
    </row>
    <row r="509" spans="1:45" ht="15.75" customHeight="1">
      <c r="A509" s="22"/>
      <c r="E509" s="26"/>
      <c r="AS509" s="26"/>
    </row>
    <row r="510" spans="1:45" ht="15.75" customHeight="1">
      <c r="A510" s="22"/>
      <c r="E510" s="26"/>
      <c r="AS510" s="26"/>
    </row>
    <row r="511" spans="1:45" ht="15.75" customHeight="1">
      <c r="A511" s="22"/>
      <c r="E511" s="26"/>
      <c r="AS511" s="26"/>
    </row>
    <row r="512" spans="1:45" ht="15.75" customHeight="1">
      <c r="A512" s="22"/>
      <c r="E512" s="26"/>
      <c r="AS512" s="26"/>
    </row>
    <row r="513" spans="1:45" ht="15.75" customHeight="1">
      <c r="A513" s="22"/>
      <c r="E513" s="26"/>
      <c r="AS513" s="26"/>
    </row>
    <row r="514" spans="1:45" ht="15.75" customHeight="1">
      <c r="A514" s="22"/>
      <c r="E514" s="26"/>
      <c r="AS514" s="26"/>
    </row>
    <row r="515" spans="1:45" ht="15.75" customHeight="1">
      <c r="A515" s="22"/>
      <c r="E515" s="26"/>
      <c r="AS515" s="26"/>
    </row>
    <row r="516" spans="1:45" ht="15.75" customHeight="1">
      <c r="A516" s="22"/>
      <c r="E516" s="26"/>
      <c r="AS516" s="26"/>
    </row>
    <row r="517" spans="1:45" ht="15.75" customHeight="1">
      <c r="A517" s="22"/>
      <c r="E517" s="26"/>
      <c r="AS517" s="26"/>
    </row>
    <row r="518" spans="1:45" ht="15.75" customHeight="1">
      <c r="A518" s="22"/>
      <c r="E518" s="26"/>
      <c r="AS518" s="26"/>
    </row>
    <row r="519" spans="1:45" ht="15.75" customHeight="1">
      <c r="A519" s="22"/>
      <c r="E519" s="26"/>
      <c r="AS519" s="26"/>
    </row>
    <row r="520" spans="1:45" ht="15.75" customHeight="1">
      <c r="A520" s="22"/>
      <c r="E520" s="26"/>
      <c r="AS520" s="26"/>
    </row>
    <row r="521" spans="1:45" ht="15.75" customHeight="1">
      <c r="A521" s="22"/>
      <c r="E521" s="26"/>
      <c r="AS521" s="26"/>
    </row>
    <row r="522" spans="1:45" ht="15.75" customHeight="1">
      <c r="A522" s="22"/>
      <c r="E522" s="26"/>
      <c r="AS522" s="26"/>
    </row>
    <row r="523" spans="1:45" ht="15.75" customHeight="1">
      <c r="A523" s="22"/>
      <c r="E523" s="26"/>
      <c r="AS523" s="26"/>
    </row>
    <row r="524" spans="1:45" ht="15.75" customHeight="1">
      <c r="A524" s="22"/>
      <c r="E524" s="26"/>
      <c r="AS524" s="26"/>
    </row>
    <row r="525" spans="1:45" ht="15.75" customHeight="1">
      <c r="A525" s="22"/>
      <c r="E525" s="26"/>
      <c r="AS525" s="26"/>
    </row>
    <row r="526" spans="1:45" ht="15.75" customHeight="1">
      <c r="A526" s="22"/>
      <c r="E526" s="26"/>
      <c r="AS526" s="26"/>
    </row>
    <row r="527" spans="1:45" ht="15.75" customHeight="1">
      <c r="A527" s="22"/>
      <c r="E527" s="26"/>
      <c r="AS527" s="26"/>
    </row>
    <row r="528" spans="1:45" ht="15.75" customHeight="1">
      <c r="A528" s="22"/>
      <c r="E528" s="26"/>
      <c r="AS528" s="26"/>
    </row>
    <row r="529" spans="1:45" ht="15.75" customHeight="1">
      <c r="A529" s="22"/>
      <c r="E529" s="26"/>
      <c r="AS529" s="26"/>
    </row>
    <row r="530" spans="1:45" ht="15.75" customHeight="1">
      <c r="A530" s="22"/>
      <c r="E530" s="26"/>
      <c r="AS530" s="26"/>
    </row>
    <row r="531" spans="1:45" ht="15.75" customHeight="1">
      <c r="A531" s="22"/>
      <c r="E531" s="26"/>
      <c r="AS531" s="26"/>
    </row>
    <row r="532" spans="1:45" ht="15.75" customHeight="1">
      <c r="A532" s="22"/>
      <c r="E532" s="26"/>
      <c r="AS532" s="26"/>
    </row>
    <row r="533" spans="1:45" ht="15.75" customHeight="1">
      <c r="A533" s="22"/>
      <c r="E533" s="26"/>
      <c r="AS533" s="26"/>
    </row>
    <row r="534" spans="1:45" ht="15.75" customHeight="1">
      <c r="A534" s="22"/>
      <c r="E534" s="26"/>
      <c r="AS534" s="26"/>
    </row>
    <row r="535" spans="1:45" ht="15.75" customHeight="1">
      <c r="A535" s="22"/>
      <c r="E535" s="26"/>
      <c r="AS535" s="26"/>
    </row>
    <row r="536" spans="1:45" ht="15.75" customHeight="1">
      <c r="A536" s="22"/>
      <c r="E536" s="26"/>
      <c r="AS536" s="26"/>
    </row>
    <row r="537" spans="1:45" ht="15.75" customHeight="1">
      <c r="A537" s="22"/>
      <c r="E537" s="26"/>
      <c r="AS537" s="26"/>
    </row>
    <row r="538" spans="1:45" ht="15.75" customHeight="1">
      <c r="A538" s="22"/>
      <c r="E538" s="26"/>
      <c r="AS538" s="26"/>
    </row>
    <row r="539" spans="1:45" ht="15.75" customHeight="1">
      <c r="A539" s="22"/>
      <c r="E539" s="26"/>
      <c r="AS539" s="26"/>
    </row>
    <row r="540" spans="1:45" ht="15.75" customHeight="1">
      <c r="A540" s="22"/>
      <c r="E540" s="26"/>
      <c r="AS540" s="26"/>
    </row>
    <row r="541" spans="1:45" ht="15.75" customHeight="1">
      <c r="A541" s="22"/>
      <c r="E541" s="26"/>
      <c r="AS541" s="26"/>
    </row>
    <row r="542" spans="1:45" ht="15.75" customHeight="1">
      <c r="A542" s="22"/>
      <c r="E542" s="26"/>
      <c r="AS542" s="26"/>
    </row>
    <row r="543" spans="1:45" ht="15.75" customHeight="1">
      <c r="A543" s="22"/>
      <c r="E543" s="26"/>
      <c r="AS543" s="26"/>
    </row>
    <row r="544" spans="1:45" ht="15.75" customHeight="1">
      <c r="A544" s="22"/>
      <c r="E544" s="26"/>
      <c r="AS544" s="26"/>
    </row>
    <row r="545" spans="1:45" ht="15.75" customHeight="1">
      <c r="A545" s="22"/>
      <c r="E545" s="26"/>
      <c r="AS545" s="26"/>
    </row>
    <row r="546" spans="1:45" ht="15.75" customHeight="1">
      <c r="A546" s="22"/>
      <c r="E546" s="26"/>
      <c r="AS546" s="26"/>
    </row>
    <row r="547" spans="1:45" ht="15.75" customHeight="1">
      <c r="A547" s="22"/>
      <c r="E547" s="26"/>
      <c r="AS547" s="26"/>
    </row>
    <row r="548" spans="1:45" ht="15.75" customHeight="1">
      <c r="A548" s="22"/>
      <c r="E548" s="26"/>
      <c r="AS548" s="26"/>
    </row>
    <row r="549" spans="1:45" ht="15.75" customHeight="1">
      <c r="A549" s="22"/>
      <c r="E549" s="26"/>
      <c r="AS549" s="26"/>
    </row>
    <row r="550" spans="1:45" ht="15.75" customHeight="1">
      <c r="A550" s="22"/>
      <c r="E550" s="26"/>
      <c r="AS550" s="26"/>
    </row>
    <row r="551" spans="1:45" ht="15.75" customHeight="1">
      <c r="A551" s="22"/>
      <c r="E551" s="26"/>
      <c r="AS551" s="26"/>
    </row>
    <row r="552" spans="1:45" ht="15.75" customHeight="1">
      <c r="A552" s="22"/>
      <c r="E552" s="26"/>
      <c r="AS552" s="26"/>
    </row>
    <row r="553" spans="1:45" ht="15.75" customHeight="1">
      <c r="A553" s="22"/>
      <c r="E553" s="26"/>
      <c r="AS553" s="26"/>
    </row>
    <row r="554" spans="1:45" ht="15.75" customHeight="1">
      <c r="A554" s="22"/>
      <c r="E554" s="26"/>
      <c r="AS554" s="26"/>
    </row>
    <row r="555" spans="1:45" ht="15.75" customHeight="1">
      <c r="A555" s="22"/>
      <c r="E555" s="26"/>
      <c r="AS555" s="26"/>
    </row>
    <row r="556" spans="1:45" ht="15.75" customHeight="1">
      <c r="A556" s="22"/>
      <c r="E556" s="26"/>
      <c r="AS556" s="26"/>
    </row>
    <row r="557" spans="1:45" ht="15.75" customHeight="1">
      <c r="A557" s="22"/>
      <c r="E557" s="26"/>
      <c r="AS557" s="26"/>
    </row>
    <row r="558" spans="1:45" ht="15.75" customHeight="1">
      <c r="A558" s="22"/>
      <c r="E558" s="26"/>
      <c r="AS558" s="26"/>
    </row>
    <row r="559" spans="1:45" ht="15.75" customHeight="1">
      <c r="A559" s="22"/>
      <c r="E559" s="26"/>
      <c r="AS559" s="26"/>
    </row>
    <row r="560" spans="1:45" ht="15.75" customHeight="1">
      <c r="A560" s="22"/>
      <c r="E560" s="26"/>
      <c r="AS560" s="26"/>
    </row>
    <row r="561" spans="1:45" ht="15.75" customHeight="1">
      <c r="A561" s="22"/>
      <c r="E561" s="26"/>
      <c r="AS561" s="26"/>
    </row>
    <row r="562" spans="1:45" ht="15.75" customHeight="1">
      <c r="A562" s="22"/>
      <c r="E562" s="26"/>
      <c r="AS562" s="26"/>
    </row>
    <row r="563" spans="1:45" ht="15.75" customHeight="1">
      <c r="A563" s="22"/>
      <c r="E563" s="26"/>
      <c r="AS563" s="26"/>
    </row>
    <row r="564" spans="1:45" ht="15.75" customHeight="1">
      <c r="A564" s="22"/>
      <c r="E564" s="26"/>
      <c r="AS564" s="26"/>
    </row>
    <row r="565" spans="1:45" ht="15.75" customHeight="1">
      <c r="A565" s="22"/>
      <c r="E565" s="26"/>
      <c r="AS565" s="26"/>
    </row>
    <row r="566" spans="1:45" ht="15.75" customHeight="1">
      <c r="A566" s="22"/>
      <c r="E566" s="26"/>
      <c r="AS566" s="26"/>
    </row>
    <row r="567" spans="1:45" ht="15.75" customHeight="1">
      <c r="A567" s="22"/>
      <c r="E567" s="26"/>
      <c r="AS567" s="26"/>
    </row>
    <row r="568" spans="1:45" ht="15.75" customHeight="1">
      <c r="A568" s="22"/>
      <c r="E568" s="26"/>
      <c r="AS568" s="26"/>
    </row>
    <row r="569" spans="1:45" ht="15.75" customHeight="1">
      <c r="A569" s="22"/>
      <c r="E569" s="26"/>
      <c r="AS569" s="26"/>
    </row>
    <row r="570" spans="1:45" ht="15.75" customHeight="1">
      <c r="A570" s="22"/>
      <c r="E570" s="26"/>
      <c r="AS570" s="26"/>
    </row>
    <row r="571" spans="1:45" ht="15.75" customHeight="1">
      <c r="A571" s="22"/>
      <c r="E571" s="26"/>
      <c r="AS571" s="26"/>
    </row>
    <row r="572" spans="1:45" ht="15.75" customHeight="1">
      <c r="A572" s="22"/>
      <c r="E572" s="26"/>
      <c r="AS572" s="26"/>
    </row>
    <row r="573" spans="1:45" ht="15.75" customHeight="1">
      <c r="A573" s="22"/>
      <c r="E573" s="26"/>
      <c r="AS573" s="26"/>
    </row>
    <row r="574" spans="1:45" ht="15.75" customHeight="1">
      <c r="A574" s="22"/>
      <c r="E574" s="26"/>
      <c r="AS574" s="26"/>
    </row>
    <row r="575" spans="1:45" ht="15.75" customHeight="1">
      <c r="A575" s="22"/>
      <c r="E575" s="26"/>
      <c r="AS575" s="26"/>
    </row>
    <row r="576" spans="1:45" ht="15.75" customHeight="1">
      <c r="A576" s="22"/>
      <c r="E576" s="26"/>
      <c r="AS576" s="26"/>
    </row>
    <row r="577" spans="1:45" ht="15.75" customHeight="1">
      <c r="A577" s="22"/>
      <c r="E577" s="26"/>
      <c r="AS577" s="26"/>
    </row>
    <row r="578" spans="1:45" ht="15.75" customHeight="1">
      <c r="A578" s="22"/>
      <c r="E578" s="26"/>
      <c r="AS578" s="26"/>
    </row>
    <row r="579" spans="1:45" ht="15.75" customHeight="1">
      <c r="A579" s="22"/>
      <c r="E579" s="26"/>
      <c r="AS579" s="26"/>
    </row>
    <row r="580" spans="1:45" ht="15.75" customHeight="1">
      <c r="A580" s="22"/>
      <c r="E580" s="26"/>
      <c r="AS580" s="26"/>
    </row>
    <row r="581" spans="1:45" ht="15.75" customHeight="1">
      <c r="A581" s="22"/>
      <c r="E581" s="26"/>
      <c r="AS581" s="26"/>
    </row>
    <row r="582" spans="1:45" ht="15.75" customHeight="1">
      <c r="A582" s="22"/>
      <c r="E582" s="26"/>
      <c r="AS582" s="26"/>
    </row>
    <row r="583" spans="1:45" ht="15.75" customHeight="1">
      <c r="A583" s="22"/>
      <c r="E583" s="26"/>
      <c r="AS583" s="26"/>
    </row>
    <row r="584" spans="1:45" ht="15.75" customHeight="1">
      <c r="A584" s="22"/>
      <c r="E584" s="26"/>
      <c r="AS584" s="26"/>
    </row>
    <row r="585" spans="1:45" ht="15.75" customHeight="1">
      <c r="A585" s="22"/>
      <c r="E585" s="26"/>
      <c r="AS585" s="26"/>
    </row>
    <row r="586" spans="1:45" ht="15.75" customHeight="1">
      <c r="A586" s="22"/>
      <c r="E586" s="26"/>
      <c r="AS586" s="26"/>
    </row>
    <row r="587" spans="1:45" ht="15.75" customHeight="1">
      <c r="A587" s="22"/>
      <c r="E587" s="26"/>
      <c r="AS587" s="26"/>
    </row>
    <row r="588" spans="1:45" ht="15.75" customHeight="1">
      <c r="A588" s="22"/>
      <c r="E588" s="26"/>
      <c r="AS588" s="26"/>
    </row>
    <row r="589" spans="1:45" ht="15.75" customHeight="1">
      <c r="A589" s="22"/>
      <c r="E589" s="26"/>
      <c r="AS589" s="26"/>
    </row>
    <row r="590" spans="1:45" ht="15.75" customHeight="1">
      <c r="A590" s="22"/>
      <c r="E590" s="26"/>
      <c r="AS590" s="26"/>
    </row>
    <row r="591" spans="1:45" ht="15.75" customHeight="1">
      <c r="A591" s="22"/>
      <c r="E591" s="26"/>
      <c r="AS591" s="26"/>
    </row>
    <row r="592" spans="1:45" ht="15.75" customHeight="1">
      <c r="A592" s="22"/>
      <c r="E592" s="26"/>
      <c r="AS592" s="26"/>
    </row>
    <row r="593" spans="1:45" ht="15.75" customHeight="1">
      <c r="A593" s="22"/>
      <c r="E593" s="26"/>
      <c r="AS593" s="26"/>
    </row>
    <row r="594" spans="1:45" ht="15.75" customHeight="1">
      <c r="A594" s="22"/>
      <c r="E594" s="26"/>
      <c r="AS594" s="26"/>
    </row>
    <row r="595" spans="1:45" ht="15.75" customHeight="1">
      <c r="A595" s="22"/>
      <c r="E595" s="26"/>
      <c r="AS595" s="26"/>
    </row>
    <row r="596" spans="1:45" ht="15.75" customHeight="1">
      <c r="A596" s="22"/>
      <c r="E596" s="26"/>
      <c r="AS596" s="26"/>
    </row>
    <row r="597" spans="1:45" ht="15.75" customHeight="1">
      <c r="A597" s="22"/>
      <c r="E597" s="26"/>
      <c r="AS597" s="26"/>
    </row>
    <row r="598" spans="1:45" ht="15.75" customHeight="1">
      <c r="A598" s="22"/>
      <c r="E598" s="26"/>
      <c r="AS598" s="26"/>
    </row>
    <row r="599" spans="1:45" ht="15.75" customHeight="1">
      <c r="A599" s="22"/>
      <c r="E599" s="26"/>
      <c r="AS599" s="26"/>
    </row>
    <row r="600" spans="1:45" ht="15.75" customHeight="1">
      <c r="A600" s="22"/>
      <c r="E600" s="26"/>
      <c r="AS600" s="26"/>
    </row>
    <row r="601" spans="1:45" ht="15.75" customHeight="1">
      <c r="A601" s="22"/>
      <c r="E601" s="26"/>
      <c r="AS601" s="26"/>
    </row>
    <row r="602" spans="1:45" ht="15.75" customHeight="1">
      <c r="A602" s="22"/>
      <c r="E602" s="26"/>
      <c r="AS602" s="26"/>
    </row>
    <row r="603" spans="1:45" ht="15.75" customHeight="1">
      <c r="A603" s="22"/>
      <c r="E603" s="26"/>
      <c r="AS603" s="26"/>
    </row>
    <row r="604" spans="1:45" ht="15.75" customHeight="1">
      <c r="A604" s="22"/>
      <c r="E604" s="26"/>
      <c r="AS604" s="26"/>
    </row>
    <row r="605" spans="1:45" ht="15.75" customHeight="1">
      <c r="A605" s="22"/>
      <c r="E605" s="26"/>
      <c r="AS605" s="26"/>
    </row>
    <row r="606" spans="1:45" ht="15.75" customHeight="1">
      <c r="A606" s="22"/>
      <c r="E606" s="26"/>
      <c r="AS606" s="26"/>
    </row>
    <row r="607" spans="1:45" ht="15.75" customHeight="1">
      <c r="A607" s="22"/>
      <c r="E607" s="26"/>
      <c r="AS607" s="26"/>
    </row>
    <row r="608" spans="1:45" ht="15.75" customHeight="1">
      <c r="A608" s="22"/>
      <c r="E608" s="26"/>
      <c r="AS608" s="26"/>
    </row>
    <row r="609" spans="1:45" ht="15.75" customHeight="1">
      <c r="A609" s="22"/>
      <c r="E609" s="26"/>
      <c r="AS609" s="26"/>
    </row>
    <row r="610" spans="1:45" ht="15.75" customHeight="1">
      <c r="A610" s="22"/>
      <c r="E610" s="26"/>
      <c r="AS610" s="26"/>
    </row>
    <row r="611" spans="1:45" ht="15.75" customHeight="1">
      <c r="A611" s="22"/>
      <c r="E611" s="26"/>
      <c r="AS611" s="26"/>
    </row>
    <row r="612" spans="1:45" ht="15.75" customHeight="1">
      <c r="A612" s="22"/>
      <c r="E612" s="26"/>
      <c r="AS612" s="26"/>
    </row>
    <row r="613" spans="1:45" ht="15.75" customHeight="1">
      <c r="A613" s="22"/>
      <c r="E613" s="26"/>
      <c r="AS613" s="26"/>
    </row>
    <row r="614" spans="1:45" ht="15.75" customHeight="1">
      <c r="A614" s="22"/>
      <c r="E614" s="26"/>
      <c r="AS614" s="26"/>
    </row>
    <row r="615" spans="1:45" ht="15.75" customHeight="1">
      <c r="A615" s="22"/>
      <c r="E615" s="26"/>
      <c r="AS615" s="26"/>
    </row>
    <row r="616" spans="1:45" ht="15.75" customHeight="1">
      <c r="A616" s="22"/>
      <c r="E616" s="26"/>
      <c r="AS616" s="26"/>
    </row>
    <row r="617" spans="1:45" ht="15.75" customHeight="1">
      <c r="A617" s="22"/>
      <c r="E617" s="26"/>
      <c r="AS617" s="26"/>
    </row>
    <row r="618" spans="1:45" ht="15.75" customHeight="1">
      <c r="A618" s="22"/>
      <c r="E618" s="26"/>
      <c r="AS618" s="26"/>
    </row>
    <row r="619" spans="1:45" ht="15.75" customHeight="1">
      <c r="A619" s="22"/>
      <c r="E619" s="26"/>
      <c r="AS619" s="26"/>
    </row>
    <row r="620" spans="1:45" ht="15.75" customHeight="1">
      <c r="A620" s="22"/>
      <c r="E620" s="26"/>
      <c r="AS620" s="26"/>
    </row>
    <row r="621" spans="1:45" ht="15.75" customHeight="1">
      <c r="A621" s="22"/>
      <c r="E621" s="26"/>
      <c r="AS621" s="26"/>
    </row>
    <row r="622" spans="1:45" ht="15.75" customHeight="1">
      <c r="A622" s="22"/>
      <c r="E622" s="26"/>
      <c r="AS622" s="26"/>
    </row>
    <row r="623" spans="1:45" ht="15.75" customHeight="1">
      <c r="A623" s="22"/>
      <c r="E623" s="26"/>
      <c r="AS623" s="26"/>
    </row>
    <row r="624" spans="1:45" ht="15.75" customHeight="1">
      <c r="A624" s="22"/>
      <c r="E624" s="26"/>
      <c r="AS624" s="26"/>
    </row>
    <row r="625" spans="1:45" ht="15.75" customHeight="1">
      <c r="A625" s="22"/>
      <c r="E625" s="26"/>
      <c r="AS625" s="26"/>
    </row>
    <row r="626" spans="1:45" ht="15.75" customHeight="1">
      <c r="A626" s="22"/>
      <c r="E626" s="26"/>
      <c r="AS626" s="26"/>
    </row>
    <row r="627" spans="1:45" ht="15.75" customHeight="1">
      <c r="A627" s="22"/>
      <c r="E627" s="26"/>
      <c r="AS627" s="26"/>
    </row>
    <row r="628" spans="1:45" ht="15.75" customHeight="1">
      <c r="A628" s="22"/>
      <c r="E628" s="26"/>
      <c r="AS628" s="26"/>
    </row>
    <row r="629" spans="1:45" ht="15.75" customHeight="1">
      <c r="A629" s="22"/>
      <c r="E629" s="26"/>
      <c r="AS629" s="26"/>
    </row>
    <row r="630" spans="1:45" ht="15.75" customHeight="1">
      <c r="A630" s="22"/>
      <c r="E630" s="26"/>
      <c r="AS630" s="26"/>
    </row>
    <row r="631" spans="1:45" ht="15.75" customHeight="1">
      <c r="A631" s="22"/>
      <c r="E631" s="26"/>
      <c r="AS631" s="26"/>
    </row>
    <row r="632" spans="1:45" ht="15.75" customHeight="1">
      <c r="A632" s="22"/>
      <c r="E632" s="26"/>
      <c r="AS632" s="26"/>
    </row>
    <row r="633" spans="1:45" ht="15.75" customHeight="1">
      <c r="A633" s="22"/>
      <c r="E633" s="26"/>
      <c r="AS633" s="26"/>
    </row>
    <row r="634" spans="1:45" ht="15.75" customHeight="1">
      <c r="A634" s="22"/>
      <c r="E634" s="26"/>
      <c r="AS634" s="26"/>
    </row>
    <row r="635" spans="1:45" ht="15.75" customHeight="1">
      <c r="A635" s="22"/>
      <c r="E635" s="26"/>
      <c r="AS635" s="26"/>
    </row>
    <row r="636" spans="1:45" ht="15.75" customHeight="1">
      <c r="A636" s="22"/>
      <c r="E636" s="26"/>
      <c r="AS636" s="26"/>
    </row>
    <row r="637" spans="1:45" ht="15.75" customHeight="1">
      <c r="A637" s="22"/>
      <c r="E637" s="26"/>
      <c r="AS637" s="26"/>
    </row>
    <row r="638" spans="1:45" ht="15.75" customHeight="1">
      <c r="A638" s="22"/>
      <c r="E638" s="26"/>
      <c r="AS638" s="26"/>
    </row>
    <row r="639" spans="1:45" ht="15.75" customHeight="1">
      <c r="A639" s="22"/>
      <c r="E639" s="26"/>
      <c r="AS639" s="26"/>
    </row>
    <row r="640" spans="1:45" ht="15.75" customHeight="1">
      <c r="A640" s="22"/>
      <c r="E640" s="26"/>
      <c r="AS640" s="26"/>
    </row>
    <row r="641" spans="1:45" ht="15.75" customHeight="1">
      <c r="A641" s="22"/>
      <c r="E641" s="26"/>
      <c r="AS641" s="26"/>
    </row>
    <row r="642" spans="1:45" ht="15.75" customHeight="1">
      <c r="A642" s="22"/>
      <c r="E642" s="26"/>
      <c r="AS642" s="26"/>
    </row>
    <row r="643" spans="1:45" ht="15.75" customHeight="1">
      <c r="A643" s="22"/>
      <c r="E643" s="26"/>
      <c r="AS643" s="26"/>
    </row>
    <row r="644" spans="1:45" ht="15.75" customHeight="1">
      <c r="A644" s="22"/>
      <c r="E644" s="26"/>
      <c r="AS644" s="26"/>
    </row>
    <row r="645" spans="1:45" ht="15.75" customHeight="1">
      <c r="A645" s="22"/>
      <c r="E645" s="26"/>
      <c r="AS645" s="26"/>
    </row>
    <row r="646" spans="1:45" ht="15.75" customHeight="1">
      <c r="A646" s="22"/>
      <c r="E646" s="26"/>
      <c r="AS646" s="26"/>
    </row>
    <row r="647" spans="1:45" ht="15.75" customHeight="1">
      <c r="A647" s="22"/>
      <c r="E647" s="26"/>
      <c r="AS647" s="26"/>
    </row>
    <row r="648" spans="1:45" ht="15.75" customHeight="1">
      <c r="A648" s="22"/>
      <c r="E648" s="26"/>
      <c r="AS648" s="26"/>
    </row>
    <row r="649" spans="1:45" ht="15.75" customHeight="1">
      <c r="A649" s="22"/>
      <c r="E649" s="26"/>
      <c r="AS649" s="26"/>
    </row>
    <row r="650" spans="1:45" ht="15.75" customHeight="1">
      <c r="A650" s="22"/>
      <c r="E650" s="26"/>
      <c r="AS650" s="26"/>
    </row>
    <row r="651" spans="1:45" ht="15.75" customHeight="1">
      <c r="A651" s="22"/>
      <c r="E651" s="26"/>
      <c r="AS651" s="26"/>
    </row>
    <row r="652" spans="1:45" ht="15.75" customHeight="1">
      <c r="A652" s="22"/>
      <c r="E652" s="26"/>
      <c r="AS652" s="26"/>
    </row>
    <row r="653" spans="1:45" ht="15.75" customHeight="1">
      <c r="A653" s="22"/>
      <c r="E653" s="26"/>
      <c r="AS653" s="26"/>
    </row>
    <row r="654" spans="1:45" ht="15.75" customHeight="1">
      <c r="A654" s="22"/>
      <c r="E654" s="26"/>
      <c r="AS654" s="26"/>
    </row>
    <row r="655" spans="1:45" ht="15.75" customHeight="1">
      <c r="A655" s="22"/>
      <c r="E655" s="26"/>
      <c r="AS655" s="26"/>
    </row>
    <row r="656" spans="1:45" ht="15.75" customHeight="1">
      <c r="A656" s="22"/>
      <c r="E656" s="26"/>
      <c r="AS656" s="26"/>
    </row>
    <row r="657" spans="1:45" ht="15.75" customHeight="1">
      <c r="A657" s="22"/>
      <c r="E657" s="26"/>
      <c r="AS657" s="26"/>
    </row>
    <row r="658" spans="1:45" ht="15.75" customHeight="1">
      <c r="A658" s="22"/>
      <c r="E658" s="26"/>
      <c r="AS658" s="26"/>
    </row>
    <row r="659" spans="1:45" ht="15.75" customHeight="1">
      <c r="A659" s="22"/>
      <c r="E659" s="26"/>
      <c r="AS659" s="26"/>
    </row>
    <row r="660" spans="1:45" ht="15.75" customHeight="1">
      <c r="A660" s="22"/>
      <c r="E660" s="26"/>
      <c r="AS660" s="26"/>
    </row>
    <row r="661" spans="1:45" ht="15.75" customHeight="1">
      <c r="A661" s="22"/>
      <c r="E661" s="26"/>
      <c r="AS661" s="26"/>
    </row>
    <row r="662" spans="1:45" ht="15.75" customHeight="1">
      <c r="A662" s="22"/>
      <c r="E662" s="26"/>
      <c r="AS662" s="26"/>
    </row>
    <row r="663" spans="1:45" ht="15.75" customHeight="1">
      <c r="A663" s="22"/>
      <c r="E663" s="26"/>
      <c r="AS663" s="26"/>
    </row>
    <row r="664" spans="1:45" ht="15.75" customHeight="1">
      <c r="A664" s="22"/>
      <c r="E664" s="26"/>
      <c r="AS664" s="26"/>
    </row>
    <row r="665" spans="1:45" ht="15.75" customHeight="1">
      <c r="A665" s="22"/>
      <c r="E665" s="26"/>
      <c r="AS665" s="26"/>
    </row>
    <row r="666" spans="1:45" ht="15.75" customHeight="1">
      <c r="A666" s="22"/>
      <c r="E666" s="26"/>
      <c r="AS666" s="26"/>
    </row>
    <row r="667" spans="1:45" ht="15.75" customHeight="1">
      <c r="A667" s="22"/>
      <c r="E667" s="26"/>
      <c r="AS667" s="26"/>
    </row>
    <row r="668" spans="1:45" ht="15.75" customHeight="1">
      <c r="A668" s="22"/>
      <c r="E668" s="26"/>
      <c r="AS668" s="26"/>
    </row>
    <row r="669" spans="1:45" ht="15.75" customHeight="1">
      <c r="A669" s="22"/>
      <c r="E669" s="26"/>
      <c r="AS669" s="26"/>
    </row>
    <row r="670" spans="1:45" ht="15.75" customHeight="1">
      <c r="A670" s="22"/>
      <c r="E670" s="26"/>
      <c r="AS670" s="26"/>
    </row>
    <row r="671" spans="1:45" ht="15.75" customHeight="1">
      <c r="A671" s="22"/>
      <c r="E671" s="26"/>
      <c r="AS671" s="26"/>
    </row>
    <row r="672" spans="1:45" ht="15.75" customHeight="1">
      <c r="A672" s="22"/>
      <c r="E672" s="26"/>
      <c r="AS672" s="26"/>
    </row>
    <row r="673" spans="1:45" ht="15.75" customHeight="1">
      <c r="A673" s="22"/>
      <c r="E673" s="26"/>
      <c r="AS673" s="26"/>
    </row>
    <row r="674" spans="1:45" ht="15.75" customHeight="1">
      <c r="A674" s="22"/>
      <c r="E674" s="26"/>
      <c r="AS674" s="26"/>
    </row>
    <row r="675" spans="1:45" ht="15.75" customHeight="1">
      <c r="A675" s="22"/>
      <c r="E675" s="26"/>
      <c r="AS675" s="26"/>
    </row>
    <row r="676" spans="1:45" ht="15.75" customHeight="1">
      <c r="A676" s="22"/>
      <c r="E676" s="26"/>
      <c r="AS676" s="26"/>
    </row>
    <row r="677" spans="1:45" ht="15.75" customHeight="1">
      <c r="A677" s="22"/>
      <c r="E677" s="26"/>
      <c r="AS677" s="26"/>
    </row>
    <row r="678" spans="1:45" ht="15.75" customHeight="1">
      <c r="A678" s="22"/>
      <c r="E678" s="26"/>
      <c r="AS678" s="26"/>
    </row>
    <row r="679" spans="1:45" ht="15.75" customHeight="1">
      <c r="A679" s="22"/>
      <c r="E679" s="26"/>
      <c r="AS679" s="26"/>
    </row>
    <row r="680" spans="1:45" ht="15.75" customHeight="1">
      <c r="A680" s="22"/>
      <c r="E680" s="26"/>
      <c r="AS680" s="26"/>
    </row>
    <row r="681" spans="1:45" ht="15.75" customHeight="1">
      <c r="A681" s="22"/>
      <c r="E681" s="26"/>
      <c r="AS681" s="26"/>
    </row>
    <row r="682" spans="1:45" ht="15.75" customHeight="1">
      <c r="A682" s="22"/>
      <c r="E682" s="26"/>
      <c r="AS682" s="26"/>
    </row>
    <row r="683" spans="1:45" ht="15.75" customHeight="1">
      <c r="A683" s="22"/>
      <c r="E683" s="26"/>
      <c r="AS683" s="26"/>
    </row>
    <row r="684" spans="1:45" ht="15.75" customHeight="1">
      <c r="A684" s="22"/>
      <c r="E684" s="26"/>
      <c r="AS684" s="26"/>
    </row>
    <row r="685" spans="1:45" ht="15.75" customHeight="1">
      <c r="A685" s="22"/>
      <c r="E685" s="26"/>
      <c r="AS685" s="26"/>
    </row>
    <row r="686" spans="1:45" ht="15.75" customHeight="1">
      <c r="A686" s="22"/>
      <c r="E686" s="26"/>
      <c r="AS686" s="26"/>
    </row>
    <row r="687" spans="1:45" ht="15.75" customHeight="1">
      <c r="A687" s="22"/>
      <c r="E687" s="26"/>
      <c r="AS687" s="26"/>
    </row>
    <row r="688" spans="1:45" ht="15.75" customHeight="1">
      <c r="A688" s="22"/>
      <c r="E688" s="26"/>
      <c r="AS688" s="26"/>
    </row>
    <row r="689" spans="1:45" ht="15.75" customHeight="1">
      <c r="A689" s="22"/>
      <c r="E689" s="26"/>
      <c r="AS689" s="26"/>
    </row>
    <row r="690" spans="1:45" ht="15.75" customHeight="1">
      <c r="A690" s="22"/>
      <c r="E690" s="26"/>
      <c r="AS690" s="26"/>
    </row>
    <row r="691" spans="1:45" ht="15.75" customHeight="1">
      <c r="A691" s="22"/>
      <c r="E691" s="26"/>
      <c r="AS691" s="26"/>
    </row>
    <row r="692" spans="1:45" ht="15.75" customHeight="1">
      <c r="A692" s="22"/>
      <c r="E692" s="26"/>
      <c r="AS692" s="26"/>
    </row>
    <row r="693" spans="1:45" ht="15.75" customHeight="1">
      <c r="A693" s="22"/>
      <c r="E693" s="26"/>
      <c r="AS693" s="26"/>
    </row>
    <row r="694" spans="1:45" ht="15.75" customHeight="1">
      <c r="A694" s="22"/>
      <c r="E694" s="26"/>
      <c r="AS694" s="26"/>
    </row>
    <row r="695" spans="1:45" ht="15.75" customHeight="1">
      <c r="A695" s="22"/>
      <c r="E695" s="26"/>
      <c r="AS695" s="26"/>
    </row>
    <row r="696" spans="1:45" ht="15.75" customHeight="1">
      <c r="A696" s="22"/>
      <c r="E696" s="26"/>
      <c r="AS696" s="26"/>
    </row>
    <row r="697" spans="1:45" ht="15.75" customHeight="1">
      <c r="A697" s="22"/>
      <c r="E697" s="26"/>
      <c r="AS697" s="26"/>
    </row>
    <row r="698" spans="1:45" ht="15.75" customHeight="1">
      <c r="A698" s="22"/>
      <c r="E698" s="26"/>
      <c r="AS698" s="26"/>
    </row>
    <row r="699" spans="1:45" ht="15.75" customHeight="1">
      <c r="A699" s="22"/>
      <c r="E699" s="26"/>
      <c r="AS699" s="26"/>
    </row>
    <row r="700" spans="1:45" ht="15.75" customHeight="1">
      <c r="A700" s="22"/>
      <c r="E700" s="26"/>
      <c r="AS700" s="26"/>
    </row>
    <row r="701" spans="1:45" ht="15.75" customHeight="1">
      <c r="A701" s="22"/>
      <c r="E701" s="26"/>
      <c r="AS701" s="26"/>
    </row>
    <row r="702" spans="1:45" ht="15.75" customHeight="1">
      <c r="A702" s="22"/>
      <c r="E702" s="26"/>
      <c r="AS702" s="26"/>
    </row>
    <row r="703" spans="1:45" ht="15.75" customHeight="1">
      <c r="A703" s="22"/>
      <c r="E703" s="26"/>
      <c r="AS703" s="26"/>
    </row>
    <row r="704" spans="1:45" ht="15.75" customHeight="1">
      <c r="A704" s="22"/>
      <c r="E704" s="26"/>
      <c r="AS704" s="26"/>
    </row>
    <row r="705" spans="1:45" ht="15.75" customHeight="1">
      <c r="A705" s="22"/>
      <c r="E705" s="26"/>
      <c r="AS705" s="26"/>
    </row>
    <row r="706" spans="1:45" ht="15.75" customHeight="1">
      <c r="A706" s="22"/>
      <c r="E706" s="26"/>
      <c r="AS706" s="26"/>
    </row>
    <row r="707" spans="1:45" ht="15.75" customHeight="1">
      <c r="A707" s="22"/>
      <c r="E707" s="26"/>
      <c r="AS707" s="26"/>
    </row>
    <row r="708" spans="1:45" ht="15.75" customHeight="1">
      <c r="A708" s="22"/>
      <c r="E708" s="26"/>
      <c r="AS708" s="26"/>
    </row>
    <row r="709" spans="1:45" ht="15.75" customHeight="1">
      <c r="A709" s="22"/>
      <c r="E709" s="26"/>
      <c r="AS709" s="26"/>
    </row>
    <row r="710" spans="1:45" ht="15.75" customHeight="1">
      <c r="A710" s="22"/>
      <c r="E710" s="26"/>
      <c r="AS710" s="26"/>
    </row>
    <row r="711" spans="1:45" ht="15.75" customHeight="1">
      <c r="A711" s="22"/>
      <c r="E711" s="26"/>
      <c r="AS711" s="26"/>
    </row>
    <row r="712" spans="1:45" ht="15.75" customHeight="1">
      <c r="A712" s="22"/>
      <c r="E712" s="26"/>
      <c r="AS712" s="26"/>
    </row>
    <row r="713" spans="1:45" ht="15.75" customHeight="1">
      <c r="A713" s="22"/>
      <c r="E713" s="26"/>
      <c r="AS713" s="26"/>
    </row>
    <row r="714" spans="1:45" ht="15.75" customHeight="1">
      <c r="A714" s="22"/>
      <c r="E714" s="26"/>
      <c r="AS714" s="26"/>
    </row>
    <row r="715" spans="1:45" ht="15.75" customHeight="1">
      <c r="A715" s="22"/>
      <c r="E715" s="26"/>
      <c r="AS715" s="26"/>
    </row>
    <row r="716" spans="1:45" ht="15.75" customHeight="1">
      <c r="A716" s="22"/>
      <c r="E716" s="26"/>
      <c r="AS716" s="26"/>
    </row>
    <row r="717" spans="1:45" ht="15.75" customHeight="1">
      <c r="A717" s="22"/>
      <c r="E717" s="26"/>
      <c r="AS717" s="26"/>
    </row>
    <row r="718" spans="1:45" ht="15.75" customHeight="1">
      <c r="A718" s="22"/>
      <c r="E718" s="26"/>
      <c r="AS718" s="26"/>
    </row>
    <row r="719" spans="1:45" ht="15.75" customHeight="1">
      <c r="A719" s="22"/>
      <c r="E719" s="26"/>
      <c r="AS719" s="26"/>
    </row>
    <row r="720" spans="1:45" ht="15.75" customHeight="1">
      <c r="A720" s="22"/>
      <c r="E720" s="26"/>
      <c r="AS720" s="26"/>
    </row>
    <row r="721" spans="1:45" ht="15.75" customHeight="1">
      <c r="A721" s="22"/>
      <c r="E721" s="26"/>
      <c r="AS721" s="26"/>
    </row>
    <row r="722" spans="1:45" ht="15.75" customHeight="1">
      <c r="A722" s="22"/>
      <c r="E722" s="26"/>
      <c r="AS722" s="26"/>
    </row>
    <row r="723" spans="1:45" ht="15.75" customHeight="1">
      <c r="A723" s="22"/>
      <c r="E723" s="26"/>
      <c r="AS723" s="26"/>
    </row>
    <row r="724" spans="1:45" ht="15.75" customHeight="1">
      <c r="A724" s="22"/>
      <c r="E724" s="26"/>
      <c r="AS724" s="26"/>
    </row>
    <row r="725" spans="1:45" ht="15.75" customHeight="1">
      <c r="A725" s="22"/>
      <c r="E725" s="26"/>
      <c r="AS725" s="26"/>
    </row>
    <row r="726" spans="1:45" ht="15.75" customHeight="1">
      <c r="A726" s="22"/>
      <c r="E726" s="26"/>
      <c r="AS726" s="26"/>
    </row>
    <row r="727" spans="1:45" ht="15.75" customHeight="1">
      <c r="A727" s="22"/>
      <c r="E727" s="26"/>
      <c r="AS727" s="26"/>
    </row>
    <row r="728" spans="1:45" ht="15.75" customHeight="1">
      <c r="A728" s="22"/>
      <c r="E728" s="26"/>
      <c r="AS728" s="26"/>
    </row>
    <row r="729" spans="1:45" ht="15.75" customHeight="1">
      <c r="A729" s="22"/>
      <c r="E729" s="26"/>
      <c r="AS729" s="26"/>
    </row>
    <row r="730" spans="1:45" ht="15.75" customHeight="1">
      <c r="A730" s="22"/>
      <c r="E730" s="26"/>
      <c r="AS730" s="26"/>
    </row>
    <row r="731" spans="1:45" ht="15.75" customHeight="1">
      <c r="A731" s="22"/>
      <c r="E731" s="26"/>
      <c r="AS731" s="26"/>
    </row>
    <row r="732" spans="1:45" ht="15.75" customHeight="1">
      <c r="A732" s="22"/>
      <c r="E732" s="26"/>
      <c r="AS732" s="26"/>
    </row>
    <row r="733" spans="1:45" ht="15.75" customHeight="1">
      <c r="A733" s="22"/>
      <c r="E733" s="26"/>
      <c r="AS733" s="26"/>
    </row>
    <row r="734" spans="1:45" ht="15.75" customHeight="1">
      <c r="A734" s="22"/>
      <c r="E734" s="26"/>
      <c r="AS734" s="26"/>
    </row>
    <row r="735" spans="1:45" ht="15.75" customHeight="1">
      <c r="A735" s="22"/>
      <c r="E735" s="26"/>
      <c r="AS735" s="26"/>
    </row>
    <row r="736" spans="1:45" ht="15.75" customHeight="1">
      <c r="A736" s="22"/>
      <c r="E736" s="26"/>
      <c r="AS736" s="26"/>
    </row>
    <row r="737" spans="1:45" ht="15.75" customHeight="1">
      <c r="A737" s="22"/>
      <c r="E737" s="26"/>
      <c r="AS737" s="26"/>
    </row>
    <row r="738" spans="1:45" ht="15.75" customHeight="1">
      <c r="A738" s="22"/>
      <c r="E738" s="26"/>
      <c r="AS738" s="26"/>
    </row>
    <row r="739" spans="1:45" ht="15.75" customHeight="1">
      <c r="A739" s="22"/>
      <c r="E739" s="26"/>
      <c r="AS739" s="26"/>
    </row>
    <row r="740" spans="1:45" ht="15.75" customHeight="1">
      <c r="A740" s="22"/>
      <c r="E740" s="26"/>
      <c r="AS740" s="26"/>
    </row>
    <row r="741" spans="1:45" ht="15.75" customHeight="1">
      <c r="A741" s="22"/>
      <c r="E741" s="26"/>
      <c r="AS741" s="26"/>
    </row>
    <row r="742" spans="1:45" ht="15.75" customHeight="1">
      <c r="A742" s="22"/>
      <c r="E742" s="26"/>
      <c r="AS742" s="26"/>
    </row>
    <row r="743" spans="1:45" ht="15.75" customHeight="1">
      <c r="A743" s="22"/>
      <c r="E743" s="26"/>
      <c r="AS743" s="26"/>
    </row>
    <row r="744" spans="1:45" ht="15.75" customHeight="1">
      <c r="A744" s="22"/>
      <c r="E744" s="26"/>
      <c r="AS744" s="26"/>
    </row>
    <row r="745" spans="1:45" ht="15.75" customHeight="1">
      <c r="A745" s="22"/>
      <c r="E745" s="26"/>
      <c r="AS745" s="26"/>
    </row>
    <row r="746" spans="1:45" ht="15.75" customHeight="1">
      <c r="A746" s="22"/>
      <c r="E746" s="26"/>
      <c r="AS746" s="26"/>
    </row>
    <row r="747" spans="1:45" ht="15.75" customHeight="1">
      <c r="A747" s="22"/>
      <c r="E747" s="26"/>
      <c r="AS747" s="26"/>
    </row>
    <row r="748" spans="1:45" ht="15.75" customHeight="1">
      <c r="A748" s="22"/>
      <c r="E748" s="26"/>
      <c r="AS748" s="26"/>
    </row>
    <row r="749" spans="1:45" ht="15.75" customHeight="1">
      <c r="A749" s="22"/>
      <c r="E749" s="26"/>
      <c r="AS749" s="26"/>
    </row>
    <row r="750" spans="1:45" ht="15.75" customHeight="1">
      <c r="A750" s="22"/>
      <c r="E750" s="26"/>
      <c r="AS750" s="26"/>
    </row>
    <row r="751" spans="1:45" ht="15.75" customHeight="1">
      <c r="A751" s="22"/>
      <c r="E751" s="26"/>
      <c r="AS751" s="26"/>
    </row>
    <row r="752" spans="1:45" ht="15.75" customHeight="1">
      <c r="A752" s="22"/>
      <c r="E752" s="26"/>
      <c r="AS752" s="26"/>
    </row>
    <row r="753" spans="1:45" ht="15.75" customHeight="1">
      <c r="A753" s="22"/>
      <c r="E753" s="26"/>
      <c r="AS753" s="26"/>
    </row>
    <row r="754" spans="1:45" ht="15.75" customHeight="1">
      <c r="A754" s="22"/>
      <c r="E754" s="26"/>
      <c r="AS754" s="26"/>
    </row>
    <row r="755" spans="1:45" ht="15.75" customHeight="1">
      <c r="A755" s="22"/>
      <c r="E755" s="26"/>
      <c r="AS755" s="26"/>
    </row>
    <row r="756" spans="1:45" ht="15.75" customHeight="1">
      <c r="A756" s="22"/>
      <c r="E756" s="26"/>
      <c r="AS756" s="26"/>
    </row>
    <row r="757" spans="1:45" ht="15.75" customHeight="1">
      <c r="A757" s="22"/>
      <c r="E757" s="26"/>
      <c r="AS757" s="26"/>
    </row>
    <row r="758" spans="1:45" ht="15.75" customHeight="1">
      <c r="A758" s="22"/>
      <c r="E758" s="26"/>
      <c r="AS758" s="26"/>
    </row>
    <row r="759" spans="1:45" ht="15.75" customHeight="1">
      <c r="A759" s="22"/>
      <c r="E759" s="26"/>
      <c r="AS759" s="26"/>
    </row>
    <row r="760" spans="1:45" ht="15.75" customHeight="1">
      <c r="A760" s="22"/>
      <c r="E760" s="26"/>
      <c r="AS760" s="26"/>
    </row>
    <row r="761" spans="1:45" ht="15.75" customHeight="1">
      <c r="A761" s="22"/>
      <c r="E761" s="26"/>
      <c r="AS761" s="26"/>
    </row>
    <row r="762" spans="1:45" ht="15.75" customHeight="1">
      <c r="A762" s="22"/>
      <c r="E762" s="26"/>
      <c r="AS762" s="26"/>
    </row>
    <row r="763" spans="1:45" ht="15.75" customHeight="1">
      <c r="A763" s="22"/>
      <c r="E763" s="26"/>
      <c r="AS763" s="26"/>
    </row>
    <row r="764" spans="1:45" ht="15.75" customHeight="1">
      <c r="A764" s="22"/>
      <c r="E764" s="26"/>
      <c r="AS764" s="26"/>
    </row>
    <row r="765" spans="1:45" ht="15.75" customHeight="1">
      <c r="A765" s="22"/>
      <c r="E765" s="26"/>
      <c r="AS765" s="26"/>
    </row>
    <row r="766" spans="1:45" ht="15.75" customHeight="1">
      <c r="A766" s="22"/>
      <c r="E766" s="26"/>
      <c r="AS766" s="26"/>
    </row>
    <row r="767" spans="1:45" ht="15.75" customHeight="1">
      <c r="A767" s="22"/>
      <c r="E767" s="26"/>
      <c r="AS767" s="26"/>
    </row>
    <row r="768" spans="1:45" ht="15.75" customHeight="1">
      <c r="A768" s="22"/>
      <c r="E768" s="26"/>
      <c r="AS768" s="26"/>
    </row>
    <row r="769" spans="1:45" ht="15.75" customHeight="1">
      <c r="A769" s="22"/>
      <c r="E769" s="26"/>
      <c r="AS769" s="26"/>
    </row>
    <row r="770" spans="1:45" ht="15.75" customHeight="1">
      <c r="A770" s="22"/>
      <c r="E770" s="26"/>
      <c r="AS770" s="26"/>
    </row>
    <row r="771" spans="1:45" ht="15.75" customHeight="1">
      <c r="A771" s="22"/>
      <c r="E771" s="26"/>
      <c r="AS771" s="26"/>
    </row>
    <row r="772" spans="1:45" ht="15.75" customHeight="1">
      <c r="A772" s="22"/>
      <c r="E772" s="26"/>
      <c r="AS772" s="26"/>
    </row>
    <row r="773" spans="1:45" ht="15.75" customHeight="1">
      <c r="A773" s="22"/>
      <c r="E773" s="26"/>
      <c r="AS773" s="26"/>
    </row>
    <row r="774" spans="1:45" ht="15.75" customHeight="1">
      <c r="A774" s="22"/>
      <c r="E774" s="26"/>
      <c r="AS774" s="26"/>
    </row>
    <row r="775" spans="1:45" ht="15.75" customHeight="1">
      <c r="A775" s="22"/>
      <c r="E775" s="26"/>
      <c r="AS775" s="26"/>
    </row>
    <row r="776" spans="1:45" ht="15.75" customHeight="1">
      <c r="A776" s="22"/>
      <c r="E776" s="26"/>
      <c r="AS776" s="26"/>
    </row>
    <row r="777" spans="1:45" ht="15.75" customHeight="1">
      <c r="A777" s="22"/>
      <c r="E777" s="26"/>
      <c r="AS777" s="26"/>
    </row>
    <row r="778" spans="1:45" ht="15.75" customHeight="1">
      <c r="A778" s="22"/>
      <c r="E778" s="26"/>
      <c r="AS778" s="26"/>
    </row>
    <row r="779" spans="1:45" ht="15.75" customHeight="1">
      <c r="A779" s="22"/>
      <c r="E779" s="26"/>
      <c r="AS779" s="26"/>
    </row>
    <row r="780" spans="1:45" ht="15.75" customHeight="1">
      <c r="A780" s="22"/>
      <c r="E780" s="26"/>
      <c r="AS780" s="26"/>
    </row>
    <row r="781" spans="1:45" ht="15.75" customHeight="1">
      <c r="A781" s="22"/>
      <c r="E781" s="26"/>
      <c r="AS781" s="26"/>
    </row>
    <row r="782" spans="1:45" ht="15.75" customHeight="1">
      <c r="A782" s="22"/>
      <c r="E782" s="26"/>
      <c r="AS782" s="26"/>
    </row>
    <row r="783" spans="1:45" ht="15.75" customHeight="1">
      <c r="A783" s="22"/>
      <c r="E783" s="26"/>
      <c r="AS783" s="26"/>
    </row>
    <row r="784" spans="1:45" ht="15.75" customHeight="1">
      <c r="A784" s="22"/>
      <c r="E784" s="26"/>
      <c r="AS784" s="26"/>
    </row>
    <row r="785" spans="1:45" ht="15.75" customHeight="1">
      <c r="A785" s="22"/>
      <c r="E785" s="26"/>
      <c r="AS785" s="26"/>
    </row>
    <row r="786" spans="1:45" ht="15.75" customHeight="1">
      <c r="A786" s="22"/>
      <c r="E786" s="26"/>
      <c r="AS786" s="26"/>
    </row>
    <row r="787" spans="1:45" ht="15.75" customHeight="1">
      <c r="A787" s="22"/>
      <c r="E787" s="26"/>
      <c r="AS787" s="26"/>
    </row>
    <row r="788" spans="1:45" ht="15.75" customHeight="1">
      <c r="A788" s="22"/>
      <c r="E788" s="26"/>
      <c r="AS788" s="26"/>
    </row>
    <row r="789" spans="1:45" ht="15.75" customHeight="1">
      <c r="A789" s="22"/>
      <c r="E789" s="26"/>
      <c r="AS789" s="26"/>
    </row>
    <row r="790" spans="1:45" ht="15.75" customHeight="1">
      <c r="A790" s="22"/>
      <c r="E790" s="26"/>
      <c r="AS790" s="26"/>
    </row>
    <row r="791" spans="1:45" ht="15.75" customHeight="1">
      <c r="A791" s="22"/>
      <c r="E791" s="26"/>
      <c r="AS791" s="26"/>
    </row>
    <row r="792" spans="1:45" ht="15.75" customHeight="1">
      <c r="A792" s="22"/>
      <c r="E792" s="26"/>
      <c r="AS792" s="26"/>
    </row>
    <row r="793" spans="1:45" ht="15.75" customHeight="1">
      <c r="A793" s="22"/>
      <c r="E793" s="26"/>
      <c r="AS793" s="26"/>
    </row>
    <row r="794" spans="1:45" ht="15.75" customHeight="1">
      <c r="A794" s="22"/>
      <c r="E794" s="26"/>
      <c r="AS794" s="26"/>
    </row>
    <row r="795" spans="1:45" ht="15.75" customHeight="1">
      <c r="A795" s="22"/>
      <c r="E795" s="26"/>
      <c r="AS795" s="26"/>
    </row>
    <row r="796" spans="1:45" ht="15.75" customHeight="1">
      <c r="A796" s="22"/>
      <c r="E796" s="26"/>
      <c r="AS796" s="26"/>
    </row>
    <row r="797" spans="1:45" ht="15.75" customHeight="1">
      <c r="A797" s="22"/>
      <c r="E797" s="26"/>
      <c r="AS797" s="26"/>
    </row>
    <row r="798" spans="1:45" ht="15.75" customHeight="1">
      <c r="A798" s="22"/>
      <c r="E798" s="26"/>
      <c r="AS798" s="26"/>
    </row>
    <row r="799" spans="1:45" ht="15.75" customHeight="1">
      <c r="A799" s="22"/>
      <c r="E799" s="26"/>
      <c r="AS799" s="26"/>
    </row>
    <row r="800" spans="1:45" ht="15.75" customHeight="1">
      <c r="A800" s="22"/>
      <c r="E800" s="26"/>
      <c r="AS800" s="26"/>
    </row>
    <row r="801" spans="1:45" ht="15.75" customHeight="1">
      <c r="A801" s="22"/>
      <c r="E801" s="26"/>
      <c r="AS801" s="26"/>
    </row>
    <row r="802" spans="1:45" ht="15.75" customHeight="1">
      <c r="A802" s="22"/>
      <c r="E802" s="26"/>
      <c r="AS802" s="26"/>
    </row>
    <row r="803" spans="1:45" ht="15.75" customHeight="1">
      <c r="A803" s="22"/>
      <c r="E803" s="26"/>
      <c r="AS803" s="26"/>
    </row>
    <row r="804" spans="1:45" ht="15.75" customHeight="1">
      <c r="A804" s="22"/>
      <c r="E804" s="26"/>
      <c r="AS804" s="26"/>
    </row>
    <row r="805" spans="1:45" ht="15.75" customHeight="1">
      <c r="A805" s="22"/>
      <c r="E805" s="26"/>
      <c r="AS805" s="26"/>
    </row>
    <row r="806" spans="1:45" ht="15.75" customHeight="1">
      <c r="A806" s="22"/>
      <c r="E806" s="26"/>
      <c r="AS806" s="26"/>
    </row>
    <row r="807" spans="1:45" ht="15.75" customHeight="1">
      <c r="A807" s="22"/>
      <c r="E807" s="26"/>
      <c r="AS807" s="26"/>
    </row>
    <row r="808" spans="1:45" ht="15.75" customHeight="1">
      <c r="A808" s="22"/>
      <c r="E808" s="26"/>
      <c r="AS808" s="26"/>
    </row>
    <row r="809" spans="1:45" ht="15.75" customHeight="1">
      <c r="A809" s="22"/>
      <c r="E809" s="26"/>
      <c r="AS809" s="26"/>
    </row>
    <row r="810" spans="1:45" ht="15.75" customHeight="1">
      <c r="A810" s="22"/>
      <c r="E810" s="26"/>
      <c r="AS810" s="26"/>
    </row>
    <row r="811" spans="1:45" ht="15.75" customHeight="1">
      <c r="A811" s="22"/>
      <c r="E811" s="26"/>
      <c r="AS811" s="26"/>
    </row>
    <row r="812" spans="1:45" ht="15.75" customHeight="1">
      <c r="A812" s="22"/>
      <c r="E812" s="26"/>
      <c r="AS812" s="26"/>
    </row>
    <row r="813" spans="1:45" ht="15.75" customHeight="1">
      <c r="A813" s="22"/>
      <c r="E813" s="26"/>
      <c r="AS813" s="26"/>
    </row>
    <row r="814" spans="1:45" ht="15.75" customHeight="1">
      <c r="A814" s="22"/>
      <c r="E814" s="26"/>
      <c r="AS814" s="26"/>
    </row>
    <row r="815" spans="1:45" ht="15.75" customHeight="1">
      <c r="A815" s="22"/>
      <c r="E815" s="26"/>
      <c r="AS815" s="26"/>
    </row>
    <row r="816" spans="1:45" ht="15.75" customHeight="1">
      <c r="A816" s="22"/>
      <c r="E816" s="26"/>
      <c r="AS816" s="26"/>
    </row>
    <row r="817" spans="1:45" ht="15.75" customHeight="1">
      <c r="A817" s="22"/>
      <c r="E817" s="26"/>
      <c r="AS817" s="26"/>
    </row>
    <row r="818" spans="1:45" ht="15.75" customHeight="1">
      <c r="A818" s="22"/>
      <c r="E818" s="26"/>
      <c r="AS818" s="26"/>
    </row>
    <row r="819" spans="1:45" ht="15.75" customHeight="1">
      <c r="A819" s="22"/>
      <c r="E819" s="26"/>
      <c r="AS819" s="26"/>
    </row>
    <row r="820" spans="1:45" ht="15.75" customHeight="1">
      <c r="A820" s="22"/>
      <c r="E820" s="26"/>
      <c r="AS820" s="26"/>
    </row>
    <row r="821" spans="1:45" ht="15.75" customHeight="1">
      <c r="A821" s="22"/>
      <c r="E821" s="26"/>
      <c r="AS821" s="26"/>
    </row>
    <row r="822" spans="1:45" ht="15.75" customHeight="1">
      <c r="A822" s="22"/>
      <c r="E822" s="26"/>
      <c r="AS822" s="26"/>
    </row>
    <row r="823" spans="1:45" ht="15.75" customHeight="1">
      <c r="A823" s="22"/>
      <c r="E823" s="26"/>
      <c r="AS823" s="26"/>
    </row>
    <row r="824" spans="1:45" ht="15.75" customHeight="1">
      <c r="A824" s="22"/>
      <c r="E824" s="26"/>
      <c r="AS824" s="26"/>
    </row>
    <row r="825" spans="1:45" ht="15.75" customHeight="1">
      <c r="A825" s="22"/>
      <c r="E825" s="26"/>
      <c r="AS825" s="26"/>
    </row>
    <row r="826" spans="1:45" ht="15.75" customHeight="1">
      <c r="A826" s="22"/>
      <c r="E826" s="26"/>
      <c r="AS826" s="26"/>
    </row>
    <row r="827" spans="1:45" ht="15.75" customHeight="1">
      <c r="A827" s="22"/>
      <c r="E827" s="26"/>
      <c r="AS827" s="26"/>
    </row>
    <row r="828" spans="1:45" ht="15.75" customHeight="1">
      <c r="A828" s="22"/>
      <c r="E828" s="26"/>
      <c r="AS828" s="26"/>
    </row>
    <row r="829" spans="1:45" ht="15.75" customHeight="1">
      <c r="A829" s="22"/>
      <c r="E829" s="26"/>
      <c r="AS829" s="26"/>
    </row>
    <row r="830" spans="1:45" ht="15.75" customHeight="1">
      <c r="A830" s="22"/>
      <c r="E830" s="26"/>
      <c r="AS830" s="26"/>
    </row>
    <row r="831" spans="1:45" ht="15.75" customHeight="1">
      <c r="A831" s="22"/>
      <c r="E831" s="26"/>
      <c r="AS831" s="26"/>
    </row>
    <row r="832" spans="1:45" ht="15.75" customHeight="1">
      <c r="A832" s="22"/>
      <c r="E832" s="26"/>
      <c r="AS832" s="26"/>
    </row>
    <row r="833" spans="1:45" ht="15.75" customHeight="1">
      <c r="A833" s="22"/>
      <c r="E833" s="26"/>
      <c r="AS833" s="26"/>
    </row>
    <row r="834" spans="1:45" ht="15.75" customHeight="1">
      <c r="A834" s="22"/>
      <c r="E834" s="26"/>
      <c r="AS834" s="26"/>
    </row>
    <row r="835" spans="1:45" ht="15.75" customHeight="1">
      <c r="A835" s="22"/>
      <c r="E835" s="26"/>
      <c r="AS835" s="26"/>
    </row>
    <row r="836" spans="1:45" ht="15.75" customHeight="1">
      <c r="A836" s="22"/>
      <c r="E836" s="26"/>
      <c r="AS836" s="26"/>
    </row>
    <row r="837" spans="1:45" ht="15.75" customHeight="1">
      <c r="A837" s="22"/>
      <c r="E837" s="26"/>
      <c r="AS837" s="26"/>
    </row>
    <row r="838" spans="1:45" ht="15.75" customHeight="1">
      <c r="A838" s="22"/>
      <c r="E838" s="26"/>
      <c r="AS838" s="26"/>
    </row>
    <row r="839" spans="1:45" ht="15.75" customHeight="1">
      <c r="A839" s="22"/>
      <c r="E839" s="26"/>
      <c r="AS839" s="26"/>
    </row>
    <row r="840" spans="1:45" ht="15.75" customHeight="1">
      <c r="A840" s="22"/>
      <c r="E840" s="26"/>
      <c r="AS840" s="26"/>
    </row>
    <row r="841" spans="1:45" ht="15.75" customHeight="1">
      <c r="A841" s="22"/>
      <c r="E841" s="26"/>
      <c r="AS841" s="26"/>
    </row>
    <row r="842" spans="1:45" ht="15.75" customHeight="1">
      <c r="A842" s="22"/>
      <c r="E842" s="26"/>
      <c r="AS842" s="26"/>
    </row>
    <row r="843" spans="1:45" ht="15.75" customHeight="1">
      <c r="A843" s="22"/>
      <c r="E843" s="26"/>
      <c r="AS843" s="26"/>
    </row>
    <row r="844" spans="1:45" ht="15.75" customHeight="1">
      <c r="A844" s="22"/>
      <c r="E844" s="26"/>
      <c r="AS844" s="26"/>
    </row>
    <row r="845" spans="1:45" ht="15.75" customHeight="1">
      <c r="A845" s="22"/>
      <c r="E845" s="26"/>
      <c r="AS845" s="26"/>
    </row>
    <row r="846" spans="1:45" ht="15.75" customHeight="1">
      <c r="A846" s="22"/>
      <c r="E846" s="26"/>
      <c r="AS846" s="26"/>
    </row>
    <row r="847" spans="1:45" ht="15.75" customHeight="1">
      <c r="A847" s="22"/>
      <c r="E847" s="26"/>
      <c r="AS847" s="26"/>
    </row>
    <row r="848" spans="1:45" ht="15.75" customHeight="1">
      <c r="A848" s="22"/>
      <c r="E848" s="26"/>
      <c r="AS848" s="26"/>
    </row>
    <row r="849" spans="1:45" ht="15.75" customHeight="1">
      <c r="A849" s="22"/>
      <c r="E849" s="26"/>
      <c r="AS849" s="26"/>
    </row>
    <row r="850" spans="1:45" ht="15.75" customHeight="1">
      <c r="A850" s="22"/>
      <c r="E850" s="26"/>
      <c r="AS850" s="26"/>
    </row>
    <row r="851" spans="1:45" ht="15.75" customHeight="1">
      <c r="A851" s="22"/>
      <c r="E851" s="26"/>
      <c r="AS851" s="26"/>
    </row>
    <row r="852" spans="1:45" ht="15.75" customHeight="1">
      <c r="A852" s="22"/>
      <c r="E852" s="26"/>
      <c r="AS852" s="26"/>
    </row>
    <row r="853" spans="1:45" ht="15.75" customHeight="1">
      <c r="A853" s="22"/>
      <c r="E853" s="26"/>
      <c r="AS853" s="26"/>
    </row>
    <row r="854" spans="1:45" ht="15.75" customHeight="1">
      <c r="A854" s="22"/>
      <c r="E854" s="26"/>
      <c r="AS854" s="26"/>
    </row>
    <row r="855" spans="1:45" ht="15.75" customHeight="1">
      <c r="A855" s="22"/>
      <c r="E855" s="26"/>
      <c r="AS855" s="26"/>
    </row>
    <row r="856" spans="1:45" ht="15.75" customHeight="1">
      <c r="A856" s="22"/>
      <c r="E856" s="26"/>
      <c r="AS856" s="26"/>
    </row>
    <row r="857" spans="1:45" ht="15.75" customHeight="1">
      <c r="A857" s="22"/>
      <c r="E857" s="26"/>
      <c r="AS857" s="26"/>
    </row>
    <row r="858" spans="1:45" ht="15.75" customHeight="1">
      <c r="A858" s="22"/>
      <c r="E858" s="26"/>
      <c r="AS858" s="26"/>
    </row>
    <row r="859" spans="1:45" ht="15.75" customHeight="1">
      <c r="A859" s="22"/>
      <c r="E859" s="26"/>
      <c r="AS859" s="26"/>
    </row>
    <row r="860" spans="1:45" ht="15.75" customHeight="1">
      <c r="A860" s="22"/>
      <c r="E860" s="26"/>
      <c r="AS860" s="26"/>
    </row>
    <row r="861" spans="1:45" ht="15.75" customHeight="1">
      <c r="A861" s="22"/>
      <c r="E861" s="26"/>
      <c r="AS861" s="26"/>
    </row>
    <row r="862" spans="1:45" ht="15.75" customHeight="1">
      <c r="A862" s="22"/>
      <c r="E862" s="26"/>
      <c r="AS862" s="26"/>
    </row>
    <row r="863" spans="1:45" ht="15.75" customHeight="1">
      <c r="A863" s="22"/>
      <c r="E863" s="26"/>
      <c r="AS863" s="26"/>
    </row>
    <row r="864" spans="1:45" ht="15.75" customHeight="1">
      <c r="A864" s="22"/>
      <c r="E864" s="26"/>
      <c r="AS864" s="26"/>
    </row>
    <row r="865" spans="1:45" ht="15.75" customHeight="1">
      <c r="A865" s="22"/>
      <c r="E865" s="26"/>
      <c r="AS865" s="26"/>
    </row>
    <row r="866" spans="1:45" ht="15.75" customHeight="1">
      <c r="A866" s="22"/>
      <c r="E866" s="26"/>
      <c r="AS866" s="26"/>
    </row>
    <row r="867" spans="1:45" ht="15.75" customHeight="1">
      <c r="A867" s="22"/>
      <c r="E867" s="26"/>
      <c r="AS867" s="26"/>
    </row>
    <row r="868" spans="1:45" ht="15.75" customHeight="1">
      <c r="A868" s="22"/>
      <c r="E868" s="26"/>
      <c r="AS868" s="26"/>
    </row>
    <row r="869" spans="1:45" ht="15.75" customHeight="1">
      <c r="A869" s="22"/>
      <c r="E869" s="26"/>
      <c r="AS869" s="26"/>
    </row>
    <row r="870" spans="1:45" ht="15.75" customHeight="1">
      <c r="A870" s="22"/>
      <c r="E870" s="26"/>
      <c r="AS870" s="26"/>
    </row>
    <row r="871" spans="1:45" ht="15.75" customHeight="1">
      <c r="A871" s="22"/>
      <c r="E871" s="26"/>
      <c r="AS871" s="26"/>
    </row>
    <row r="872" spans="1:45" ht="15.75" customHeight="1">
      <c r="A872" s="22"/>
      <c r="E872" s="26"/>
      <c r="AS872" s="26"/>
    </row>
    <row r="873" spans="1:45" ht="15.75" customHeight="1">
      <c r="A873" s="22"/>
      <c r="E873" s="26"/>
      <c r="AS873" s="26"/>
    </row>
    <row r="874" spans="1:45" ht="15.75" customHeight="1">
      <c r="A874" s="22"/>
      <c r="E874" s="26"/>
      <c r="AS874" s="26"/>
    </row>
    <row r="875" spans="1:45" ht="15.75" customHeight="1">
      <c r="A875" s="22"/>
      <c r="E875" s="26"/>
      <c r="AS875" s="26"/>
    </row>
    <row r="876" spans="1:45" ht="15.75" customHeight="1">
      <c r="A876" s="22"/>
      <c r="E876" s="26"/>
      <c r="AS876" s="26"/>
    </row>
    <row r="877" spans="1:45" ht="15.75" customHeight="1">
      <c r="A877" s="22"/>
      <c r="E877" s="26"/>
      <c r="AS877" s="26"/>
    </row>
    <row r="878" spans="1:45" ht="15.75" customHeight="1">
      <c r="A878" s="22"/>
      <c r="E878" s="26"/>
      <c r="AS878" s="26"/>
    </row>
    <row r="879" spans="1:45" ht="15.75" customHeight="1">
      <c r="A879" s="22"/>
      <c r="E879" s="26"/>
      <c r="AS879" s="26"/>
    </row>
    <row r="880" spans="1:45" ht="15.75" customHeight="1">
      <c r="A880" s="22"/>
      <c r="E880" s="26"/>
      <c r="AS880" s="26"/>
    </row>
    <row r="881" spans="1:45" ht="15.75" customHeight="1">
      <c r="A881" s="22"/>
      <c r="E881" s="26"/>
      <c r="AS881" s="26"/>
    </row>
    <row r="882" spans="1:45" ht="15.75" customHeight="1">
      <c r="A882" s="22"/>
      <c r="E882" s="26"/>
      <c r="AS882" s="26"/>
    </row>
    <row r="883" spans="1:45" ht="15.75" customHeight="1">
      <c r="A883" s="22"/>
      <c r="E883" s="26"/>
      <c r="AS883" s="26"/>
    </row>
    <row r="884" spans="1:45" ht="15.75" customHeight="1">
      <c r="A884" s="22"/>
      <c r="E884" s="26"/>
      <c r="AS884" s="26"/>
    </row>
    <row r="885" spans="1:45" ht="15.75" customHeight="1">
      <c r="A885" s="22"/>
      <c r="E885" s="26"/>
      <c r="AS885" s="26"/>
    </row>
    <row r="886" spans="1:45" ht="15.75" customHeight="1">
      <c r="A886" s="22"/>
      <c r="E886" s="26"/>
      <c r="AS886" s="26"/>
    </row>
    <row r="887" spans="1:45" ht="15.75" customHeight="1">
      <c r="A887" s="22"/>
      <c r="E887" s="26"/>
      <c r="AS887" s="26"/>
    </row>
    <row r="888" spans="1:45" ht="15.75" customHeight="1">
      <c r="A888" s="22"/>
      <c r="E888" s="26"/>
      <c r="AS888" s="26"/>
    </row>
    <row r="889" spans="1:45" ht="15.75" customHeight="1">
      <c r="A889" s="22"/>
      <c r="E889" s="26"/>
      <c r="AS889" s="26"/>
    </row>
    <row r="890" spans="1:45" ht="15.75" customHeight="1">
      <c r="A890" s="22"/>
      <c r="E890" s="26"/>
      <c r="AS890" s="26"/>
    </row>
    <row r="891" spans="1:45" ht="15.75" customHeight="1">
      <c r="A891" s="22"/>
      <c r="E891" s="26"/>
      <c r="AS891" s="26"/>
    </row>
    <row r="892" spans="1:45" ht="15.75" customHeight="1">
      <c r="A892" s="22"/>
      <c r="E892" s="26"/>
      <c r="AS892" s="26"/>
    </row>
    <row r="893" spans="1:45" ht="15.75" customHeight="1">
      <c r="A893" s="22"/>
      <c r="E893" s="26"/>
      <c r="AS893" s="26"/>
    </row>
    <row r="894" spans="1:45" ht="15.75" customHeight="1">
      <c r="A894" s="22"/>
      <c r="E894" s="26"/>
      <c r="AS894" s="26"/>
    </row>
    <row r="895" spans="1:45" ht="15.75" customHeight="1">
      <c r="A895" s="22"/>
      <c r="E895" s="26"/>
      <c r="AS895" s="26"/>
    </row>
    <row r="896" spans="1:45" ht="15.75" customHeight="1">
      <c r="A896" s="22"/>
      <c r="E896" s="26"/>
      <c r="AS896" s="26"/>
    </row>
    <row r="897" spans="1:45" ht="15.75" customHeight="1">
      <c r="A897" s="22"/>
      <c r="E897" s="26"/>
      <c r="AS897" s="26"/>
    </row>
    <row r="898" spans="1:45" ht="15.75" customHeight="1">
      <c r="A898" s="22"/>
      <c r="E898" s="26"/>
      <c r="AS898" s="26"/>
    </row>
    <row r="899" spans="1:45" ht="15.75" customHeight="1">
      <c r="A899" s="22"/>
      <c r="E899" s="26"/>
      <c r="AS899" s="26"/>
    </row>
    <row r="900" spans="1:45" ht="15.75" customHeight="1">
      <c r="A900" s="22"/>
      <c r="E900" s="26"/>
      <c r="AS900" s="26"/>
    </row>
    <row r="901" spans="1:45" ht="15.75" customHeight="1">
      <c r="A901" s="22"/>
      <c r="E901" s="26"/>
      <c r="AS901" s="26"/>
    </row>
    <row r="902" spans="1:45" ht="15.75" customHeight="1">
      <c r="A902" s="22"/>
      <c r="E902" s="26"/>
      <c r="AS902" s="26"/>
    </row>
    <row r="903" spans="1:45" ht="15.75" customHeight="1">
      <c r="A903" s="22"/>
      <c r="E903" s="26"/>
      <c r="AS903" s="26"/>
    </row>
    <row r="904" spans="1:45" ht="15.75" customHeight="1">
      <c r="A904" s="22"/>
      <c r="E904" s="26"/>
      <c r="AS904" s="26"/>
    </row>
    <row r="905" spans="1:45" ht="15.75" customHeight="1">
      <c r="A905" s="22"/>
      <c r="E905" s="26"/>
      <c r="AS905" s="26"/>
    </row>
    <row r="906" spans="1:45" ht="15.75" customHeight="1">
      <c r="A906" s="22"/>
      <c r="E906" s="26"/>
      <c r="AS906" s="26"/>
    </row>
    <row r="907" spans="1:45" ht="15.75" customHeight="1">
      <c r="A907" s="22"/>
      <c r="E907" s="26"/>
      <c r="AS907" s="26"/>
    </row>
    <row r="908" spans="1:45" ht="15.75" customHeight="1">
      <c r="A908" s="22"/>
      <c r="E908" s="26"/>
      <c r="AS908" s="26"/>
    </row>
    <row r="909" spans="1:45" ht="15.75" customHeight="1">
      <c r="A909" s="22"/>
      <c r="E909" s="26"/>
      <c r="AS909" s="26"/>
    </row>
    <row r="910" spans="1:45" ht="15.75" customHeight="1">
      <c r="A910" s="22"/>
      <c r="E910" s="26"/>
      <c r="AS910" s="26"/>
    </row>
    <row r="911" spans="1:45" ht="15.75" customHeight="1">
      <c r="A911" s="22"/>
      <c r="E911" s="26"/>
      <c r="AS911" s="26"/>
    </row>
    <row r="912" spans="1:45" ht="15.75" customHeight="1">
      <c r="A912" s="22"/>
      <c r="E912" s="26"/>
      <c r="AS912" s="26"/>
    </row>
    <row r="913" spans="1:45" ht="15.75" customHeight="1">
      <c r="A913" s="22"/>
      <c r="E913" s="26"/>
      <c r="AS913" s="26"/>
    </row>
    <row r="914" spans="1:45" ht="15.75" customHeight="1">
      <c r="A914" s="22"/>
      <c r="E914" s="26"/>
      <c r="AS914" s="26"/>
    </row>
    <row r="915" spans="1:45" ht="15.75" customHeight="1">
      <c r="A915" s="22"/>
      <c r="E915" s="26"/>
      <c r="AS915" s="26"/>
    </row>
    <row r="916" spans="1:45" ht="15.75" customHeight="1">
      <c r="A916" s="22"/>
      <c r="E916" s="26"/>
      <c r="AS916" s="26"/>
    </row>
    <row r="917" spans="1:45" ht="15.75" customHeight="1">
      <c r="A917" s="22"/>
      <c r="E917" s="26"/>
      <c r="AS917" s="26"/>
    </row>
    <row r="918" spans="1:45" ht="15.75" customHeight="1">
      <c r="A918" s="22"/>
      <c r="E918" s="26"/>
      <c r="AS918" s="26"/>
    </row>
    <row r="919" spans="1:45" ht="15.75" customHeight="1">
      <c r="A919" s="22"/>
      <c r="E919" s="26"/>
      <c r="AS919" s="26"/>
    </row>
    <row r="920" spans="1:45" ht="15.75" customHeight="1">
      <c r="A920" s="22"/>
      <c r="E920" s="26"/>
      <c r="AS920" s="26"/>
    </row>
    <row r="921" spans="1:45" ht="15.75" customHeight="1">
      <c r="A921" s="22"/>
      <c r="E921" s="26"/>
      <c r="AS921" s="26"/>
    </row>
    <row r="922" spans="1:45" ht="15.75" customHeight="1">
      <c r="A922" s="22"/>
      <c r="E922" s="26"/>
      <c r="AS922" s="26"/>
    </row>
    <row r="923" spans="1:45" ht="15.75" customHeight="1">
      <c r="A923" s="22"/>
      <c r="E923" s="26"/>
      <c r="AS923" s="26"/>
    </row>
    <row r="924" spans="1:45" ht="15.75" customHeight="1">
      <c r="A924" s="22"/>
      <c r="E924" s="26"/>
      <c r="AS924" s="26"/>
    </row>
    <row r="925" spans="1:45" ht="15.75" customHeight="1">
      <c r="A925" s="22"/>
      <c r="E925" s="26"/>
      <c r="AS925" s="26"/>
    </row>
    <row r="926" spans="1:45" ht="15.75" customHeight="1">
      <c r="A926" s="22"/>
      <c r="E926" s="26"/>
      <c r="AS926" s="26"/>
    </row>
    <row r="927" spans="1:45" ht="15.75" customHeight="1">
      <c r="A927" s="22"/>
      <c r="E927" s="26"/>
      <c r="AS927" s="26"/>
    </row>
    <row r="928" spans="1:45" ht="15.75" customHeight="1">
      <c r="A928" s="22"/>
      <c r="E928" s="26"/>
      <c r="AS928" s="26"/>
    </row>
    <row r="929" spans="1:45" ht="15.75" customHeight="1">
      <c r="A929" s="22"/>
      <c r="E929" s="26"/>
      <c r="AS929" s="26"/>
    </row>
    <row r="930" spans="1:45" ht="15.75" customHeight="1">
      <c r="A930" s="22"/>
      <c r="E930" s="26"/>
      <c r="AS930" s="26"/>
    </row>
    <row r="931" spans="1:45" ht="15.75" customHeight="1">
      <c r="A931" s="22"/>
      <c r="E931" s="26"/>
      <c r="AS931" s="26"/>
    </row>
    <row r="932" spans="1:45" ht="15.75" customHeight="1">
      <c r="A932" s="22"/>
      <c r="E932" s="26"/>
      <c r="AS932" s="26"/>
    </row>
    <row r="933" spans="1:45" ht="15.75" customHeight="1">
      <c r="A933" s="22"/>
      <c r="E933" s="26"/>
      <c r="AS933" s="26"/>
    </row>
    <row r="934" spans="1:45" ht="15.75" customHeight="1">
      <c r="A934" s="22"/>
      <c r="E934" s="26"/>
      <c r="AS934" s="26"/>
    </row>
    <row r="935" spans="1:45" ht="15.75" customHeight="1">
      <c r="A935" s="22"/>
      <c r="E935" s="26"/>
      <c r="AS935" s="26"/>
    </row>
    <row r="936" spans="1:45" ht="15.75" customHeight="1">
      <c r="A936" s="22"/>
      <c r="E936" s="26"/>
      <c r="AS936" s="26"/>
    </row>
    <row r="937" spans="1:45" ht="15.75" customHeight="1">
      <c r="A937" s="22"/>
      <c r="E937" s="26"/>
      <c r="AS937" s="26"/>
    </row>
    <row r="938" spans="1:45" ht="15.75" customHeight="1">
      <c r="A938" s="22"/>
      <c r="E938" s="26"/>
      <c r="AS938" s="26"/>
    </row>
    <row r="939" spans="1:45" ht="15.75" customHeight="1">
      <c r="A939" s="22"/>
      <c r="E939" s="26"/>
      <c r="AS939" s="26"/>
    </row>
    <row r="940" spans="1:45" ht="15.75" customHeight="1">
      <c r="A940" s="22"/>
      <c r="E940" s="26"/>
      <c r="AS940" s="26"/>
    </row>
    <row r="941" spans="1:45" ht="15.75" customHeight="1">
      <c r="A941" s="22"/>
      <c r="E941" s="26"/>
      <c r="AS941" s="26"/>
    </row>
    <row r="942" spans="1:45" ht="15.75" customHeight="1">
      <c r="A942" s="22"/>
      <c r="E942" s="26"/>
      <c r="AS942" s="26"/>
    </row>
    <row r="943" spans="1:45" ht="15.75" customHeight="1">
      <c r="A943" s="22"/>
      <c r="E943" s="26"/>
      <c r="AS943" s="26"/>
    </row>
    <row r="944" spans="1:45" ht="15.75" customHeight="1">
      <c r="A944" s="22"/>
      <c r="E944" s="26"/>
      <c r="AS944" s="26"/>
    </row>
    <row r="945" spans="1:45" ht="15.75" customHeight="1">
      <c r="A945" s="22"/>
      <c r="E945" s="26"/>
      <c r="AS945" s="26"/>
    </row>
    <row r="946" spans="1:45" ht="15.75" customHeight="1">
      <c r="A946" s="22"/>
      <c r="E946" s="26"/>
      <c r="AS946" s="26"/>
    </row>
    <row r="947" spans="1:45" ht="15.75" customHeight="1">
      <c r="A947" s="22"/>
      <c r="E947" s="26"/>
      <c r="AS947" s="26"/>
    </row>
    <row r="948" spans="1:45" ht="15.75" customHeight="1">
      <c r="A948" s="22"/>
      <c r="E948" s="26"/>
      <c r="AS948" s="26"/>
    </row>
    <row r="949" spans="1:45" ht="15.75" customHeight="1">
      <c r="A949" s="22"/>
      <c r="E949" s="26"/>
      <c r="AS949" s="26"/>
    </row>
    <row r="950" spans="1:45" ht="15.75" customHeight="1">
      <c r="A950" s="22"/>
      <c r="E950" s="26"/>
      <c r="AS950" s="26"/>
    </row>
    <row r="951" spans="1:45" ht="15.75" customHeight="1">
      <c r="A951" s="22"/>
      <c r="E951" s="26"/>
      <c r="AS951" s="26"/>
    </row>
    <row r="952" spans="1:45" ht="15.75" customHeight="1">
      <c r="A952" s="22"/>
      <c r="E952" s="26"/>
      <c r="AS952" s="26"/>
    </row>
    <row r="953" spans="1:45" ht="15.75" customHeight="1">
      <c r="A953" s="22"/>
      <c r="E953" s="26"/>
      <c r="AS953" s="26"/>
    </row>
    <row r="954" spans="1:45" ht="15.75" customHeight="1">
      <c r="A954" s="22"/>
      <c r="E954" s="26"/>
      <c r="AS954" s="26"/>
    </row>
    <row r="955" spans="1:45" ht="15.75" customHeight="1">
      <c r="A955" s="22"/>
      <c r="E955" s="26"/>
      <c r="AS955" s="26"/>
    </row>
    <row r="956" spans="1:45" ht="15.75" customHeight="1">
      <c r="A956" s="22"/>
      <c r="E956" s="26"/>
      <c r="AS956" s="26"/>
    </row>
    <row r="957" spans="1:45" ht="15.75" customHeight="1">
      <c r="A957" s="22"/>
      <c r="E957" s="26"/>
      <c r="AS957" s="26"/>
    </row>
    <row r="958" spans="1:45" ht="15.75" customHeight="1">
      <c r="A958" s="22"/>
      <c r="E958" s="26"/>
      <c r="AS958" s="26"/>
    </row>
    <row r="959" spans="1:45" ht="15.75" customHeight="1">
      <c r="A959" s="22"/>
      <c r="E959" s="26"/>
      <c r="AS959" s="26"/>
    </row>
    <row r="960" spans="1:45" ht="15.75" customHeight="1">
      <c r="A960" s="22"/>
      <c r="E960" s="26"/>
      <c r="AS960" s="26"/>
    </row>
    <row r="961" spans="1:45" ht="15.75" customHeight="1">
      <c r="A961" s="22"/>
      <c r="E961" s="26"/>
      <c r="AS961" s="26"/>
    </row>
    <row r="962" spans="1:45" ht="15.75" customHeight="1">
      <c r="A962" s="22"/>
      <c r="E962" s="26"/>
      <c r="AS962" s="26"/>
    </row>
    <row r="963" spans="1:45" ht="15.75" customHeight="1">
      <c r="A963" s="22"/>
      <c r="E963" s="26"/>
      <c r="AS963" s="26"/>
    </row>
    <row r="964" spans="1:45" ht="15.75" customHeight="1">
      <c r="A964" s="22"/>
      <c r="E964" s="26"/>
      <c r="AS964" s="26"/>
    </row>
    <row r="965" spans="1:45" ht="15.75" customHeight="1">
      <c r="A965" s="22"/>
      <c r="E965" s="26"/>
      <c r="AS965" s="26"/>
    </row>
    <row r="966" spans="1:45" ht="15.75" customHeight="1">
      <c r="A966" s="22"/>
      <c r="E966" s="26"/>
      <c r="AS966" s="26"/>
    </row>
    <row r="967" spans="1:45" ht="15.75" customHeight="1">
      <c r="A967" s="22"/>
      <c r="E967" s="26"/>
      <c r="AS967" s="26"/>
    </row>
    <row r="968" spans="1:45" ht="15.75" customHeight="1">
      <c r="A968" s="22"/>
      <c r="E968" s="26"/>
      <c r="AS968" s="26"/>
    </row>
    <row r="969" spans="1:45" ht="15.75" customHeight="1">
      <c r="A969" s="22"/>
      <c r="E969" s="26"/>
      <c r="AS969" s="26"/>
    </row>
    <row r="970" spans="1:45" ht="15.75" customHeight="1">
      <c r="A970" s="22"/>
      <c r="E970" s="26"/>
      <c r="AS970" s="26"/>
    </row>
    <row r="971" spans="1:45" ht="15.75" customHeight="1">
      <c r="A971" s="22"/>
      <c r="E971" s="26"/>
      <c r="AS971" s="26"/>
    </row>
    <row r="972" spans="1:45" ht="15.75" customHeight="1">
      <c r="A972" s="22"/>
      <c r="E972" s="26"/>
      <c r="AS972" s="26"/>
    </row>
    <row r="973" spans="1:45" ht="15.75" customHeight="1">
      <c r="A973" s="22"/>
      <c r="E973" s="26"/>
      <c r="AS973" s="26"/>
    </row>
    <row r="974" spans="1:45" ht="15.75" customHeight="1">
      <c r="A974" s="22"/>
      <c r="E974" s="26"/>
      <c r="AS974" s="26"/>
    </row>
    <row r="975" spans="1:45" ht="15.75" customHeight="1">
      <c r="A975" s="22"/>
      <c r="E975" s="26"/>
      <c r="AS975" s="26"/>
    </row>
    <row r="976" spans="1:45" ht="15.75" customHeight="1">
      <c r="A976" s="22"/>
      <c r="E976" s="26"/>
      <c r="AS976" s="26"/>
    </row>
    <row r="977" spans="1:45" ht="15.75" customHeight="1">
      <c r="A977" s="22"/>
      <c r="E977" s="26"/>
      <c r="AS977" s="26"/>
    </row>
    <row r="978" spans="1:45" ht="15.75" customHeight="1">
      <c r="A978" s="22"/>
      <c r="E978" s="26"/>
      <c r="AS978" s="26"/>
    </row>
    <row r="979" spans="1:45" ht="15.75" customHeight="1">
      <c r="A979" s="22"/>
      <c r="E979" s="26"/>
      <c r="AS979" s="26"/>
    </row>
    <row r="980" spans="1:45" ht="15.75" customHeight="1">
      <c r="A980" s="22"/>
      <c r="E980" s="26"/>
      <c r="AS980" s="26"/>
    </row>
    <row r="981" spans="1:45" ht="15.75" customHeight="1">
      <c r="A981" s="22"/>
      <c r="E981" s="26"/>
      <c r="AS981" s="26"/>
    </row>
    <row r="982" spans="1:45" ht="15.75" customHeight="1">
      <c r="A982" s="22"/>
      <c r="E982" s="26"/>
      <c r="AS982" s="26"/>
    </row>
    <row r="983" spans="1:45" ht="15.75" customHeight="1">
      <c r="A983" s="22"/>
      <c r="E983" s="26"/>
      <c r="AS983" s="26"/>
    </row>
    <row r="984" spans="1:45" ht="15.75" customHeight="1">
      <c r="A984" s="22"/>
      <c r="E984" s="26"/>
      <c r="AS984" s="26"/>
    </row>
    <row r="985" spans="1:45" ht="15.75" customHeight="1">
      <c r="A985" s="22"/>
      <c r="E985" s="26"/>
      <c r="AS985" s="26"/>
    </row>
    <row r="986" spans="1:45" ht="15.75" customHeight="1">
      <c r="A986" s="22"/>
      <c r="E986" s="26"/>
      <c r="AS986" s="26"/>
    </row>
    <row r="987" spans="1:45" ht="15.75" customHeight="1">
      <c r="A987" s="22"/>
      <c r="E987" s="26"/>
      <c r="AS987" s="26"/>
    </row>
    <row r="988" spans="1:45" ht="15.75" customHeight="1">
      <c r="A988" s="22"/>
      <c r="E988" s="26"/>
      <c r="AS988" s="26"/>
    </row>
    <row r="989" spans="1:45" ht="15.75" customHeight="1">
      <c r="A989" s="22"/>
      <c r="E989" s="26"/>
      <c r="AS989" s="26"/>
    </row>
    <row r="990" spans="1:45" ht="15.75" customHeight="1">
      <c r="A990" s="22"/>
      <c r="E990" s="26"/>
      <c r="AS990" s="26"/>
    </row>
    <row r="991" spans="1:45" ht="15.75" customHeight="1">
      <c r="A991" s="22"/>
      <c r="E991" s="26"/>
      <c r="AS991" s="26"/>
    </row>
    <row r="992" spans="1:45" ht="15.75" customHeight="1">
      <c r="A992" s="22"/>
      <c r="E992" s="26"/>
      <c r="AS992" s="26"/>
    </row>
    <row r="993" spans="1:45" ht="15.75" customHeight="1">
      <c r="A993" s="22"/>
      <c r="E993" s="26"/>
      <c r="AS993" s="26"/>
    </row>
    <row r="994" spans="1:45" ht="15.75" customHeight="1">
      <c r="A994" s="22"/>
      <c r="E994" s="26"/>
      <c r="AS994" s="26"/>
    </row>
    <row r="995" spans="1:45" ht="15.75" customHeight="1">
      <c r="A995" s="22"/>
      <c r="E995" s="26"/>
      <c r="AS995" s="26"/>
    </row>
    <row r="996" spans="1:45" ht="15.75" customHeight="1">
      <c r="A996" s="22"/>
      <c r="E996" s="26"/>
      <c r="AS996" s="26"/>
    </row>
    <row r="997" spans="1:45" ht="15.75" customHeight="1">
      <c r="A997" s="22"/>
      <c r="E997" s="26"/>
      <c r="AS997" s="26"/>
    </row>
    <row r="998" spans="1:45" ht="15.75" customHeight="1">
      <c r="A998" s="22"/>
      <c r="E998" s="26"/>
      <c r="AS998" s="26"/>
    </row>
    <row r="999" spans="1:45" ht="15.75" customHeight="1">
      <c r="A999" s="22"/>
      <c r="E999" s="26"/>
      <c r="AS999" s="26"/>
    </row>
    <row r="1000" spans="1:45" ht="15.75" customHeight="1">
      <c r="A1000" s="22"/>
      <c r="E1000" s="26"/>
      <c r="AS1000" s="26"/>
    </row>
  </sheetData>
  <mergeCells count="6">
    <mergeCell ref="D23:E23"/>
    <mergeCell ref="D5:E5"/>
    <mergeCell ref="AR5:AS5"/>
    <mergeCell ref="AR7:AS7"/>
    <mergeCell ref="D8:E8"/>
    <mergeCell ref="AR8:AS8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1005"/>
  <sheetViews>
    <sheetView showGridLines="0" topLeftCell="A6" zoomScale="123" workbookViewId="0">
      <pane xSplit="4" topLeftCell="E1" activePane="topRight" state="frozen"/>
      <selection pane="topRight" activeCell="F29" sqref="F29"/>
    </sheetView>
  </sheetViews>
  <sheetFormatPr defaultColWidth="14.42578125" defaultRowHeight="15" customHeight="1"/>
  <cols>
    <col min="1" max="1" width="21.42578125" customWidth="1"/>
    <col min="2" max="2" width="15.42578125" customWidth="1"/>
    <col min="3" max="3" width="7.5703125" bestFit="1" customWidth="1"/>
    <col min="4" max="4" width="3" customWidth="1"/>
    <col min="5" max="5" width="3.42578125" customWidth="1"/>
    <col min="6" max="6" width="8.42578125" customWidth="1"/>
    <col min="7" max="7" width="9.85546875" bestFit="1" customWidth="1"/>
    <col min="8" max="10" width="9.42578125" customWidth="1"/>
    <col min="11" max="12" width="9.85546875" bestFit="1" customWidth="1"/>
    <col min="13" max="15" width="9.85546875" customWidth="1"/>
    <col min="16" max="41" width="10.42578125" customWidth="1"/>
    <col min="42" max="42" width="10.85546875" bestFit="1" customWidth="1"/>
    <col min="43" max="44" width="11.140625" customWidth="1"/>
  </cols>
  <sheetData>
    <row r="1" spans="1:44" ht="21">
      <c r="A1" s="1" t="s">
        <v>0</v>
      </c>
    </row>
    <row r="2" spans="1:44" ht="18.600000000000001">
      <c r="A2" s="2" t="s">
        <v>234</v>
      </c>
    </row>
    <row r="4" spans="1:44" ht="14.45">
      <c r="A4" s="5" t="s">
        <v>116</v>
      </c>
    </row>
    <row r="5" spans="1:44" ht="14.45">
      <c r="A5" s="61" t="s">
        <v>235</v>
      </c>
      <c r="B5" s="60"/>
      <c r="C5" s="60"/>
    </row>
    <row r="8" spans="1:44" ht="15.6">
      <c r="A8" s="66" t="s">
        <v>3</v>
      </c>
      <c r="B8" s="66" t="s">
        <v>60</v>
      </c>
      <c r="C8" s="67" t="s">
        <v>236</v>
      </c>
      <c r="D8" s="5"/>
      <c r="E8" s="5"/>
      <c r="F8" s="101" t="s">
        <v>73</v>
      </c>
      <c r="G8" s="101" t="s">
        <v>74</v>
      </c>
      <c r="H8" s="101" t="s">
        <v>75</v>
      </c>
      <c r="I8" s="101" t="s">
        <v>76</v>
      </c>
      <c r="J8" s="101" t="s">
        <v>77</v>
      </c>
      <c r="K8" s="101" t="s">
        <v>78</v>
      </c>
      <c r="L8" s="101" t="s">
        <v>79</v>
      </c>
      <c r="M8" s="101" t="s">
        <v>80</v>
      </c>
      <c r="N8" s="101" t="s">
        <v>81</v>
      </c>
      <c r="O8" s="101" t="s">
        <v>82</v>
      </c>
      <c r="P8" s="101" t="s">
        <v>83</v>
      </c>
      <c r="Q8" s="101" t="s">
        <v>84</v>
      </c>
      <c r="R8" s="101" t="s">
        <v>237</v>
      </c>
      <c r="S8" s="101" t="s">
        <v>238</v>
      </c>
      <c r="T8" s="101" t="s">
        <v>239</v>
      </c>
      <c r="U8" s="101" t="s">
        <v>240</v>
      </c>
      <c r="V8" s="101" t="s">
        <v>241</v>
      </c>
      <c r="W8" s="101" t="s">
        <v>242</v>
      </c>
      <c r="X8" s="101" t="s">
        <v>243</v>
      </c>
      <c r="Y8" s="101" t="s">
        <v>244</v>
      </c>
      <c r="Z8" s="101" t="s">
        <v>245</v>
      </c>
      <c r="AA8" s="101" t="s">
        <v>246</v>
      </c>
      <c r="AB8" s="101" t="s">
        <v>247</v>
      </c>
      <c r="AC8" s="101" t="s">
        <v>248</v>
      </c>
      <c r="AD8" s="101" t="s">
        <v>249</v>
      </c>
      <c r="AE8" s="101" t="s">
        <v>250</v>
      </c>
      <c r="AF8" s="101" t="s">
        <v>251</v>
      </c>
      <c r="AG8" s="101" t="s">
        <v>252</v>
      </c>
      <c r="AH8" s="101" t="s">
        <v>253</v>
      </c>
      <c r="AI8" s="101" t="s">
        <v>254</v>
      </c>
      <c r="AJ8" s="101" t="s">
        <v>255</v>
      </c>
      <c r="AK8" s="101" t="s">
        <v>256</v>
      </c>
      <c r="AL8" s="101" t="s">
        <v>257</v>
      </c>
      <c r="AM8" s="101" t="s">
        <v>258</v>
      </c>
      <c r="AN8" s="101" t="s">
        <v>259</v>
      </c>
      <c r="AO8" s="101" t="s">
        <v>260</v>
      </c>
      <c r="AP8" s="6"/>
      <c r="AQ8" s="102" t="s">
        <v>7</v>
      </c>
      <c r="AR8" s="102" t="s">
        <v>8</v>
      </c>
    </row>
    <row r="9" spans="1:44" ht="14.45">
      <c r="A9" s="62" t="s">
        <v>261</v>
      </c>
    </row>
    <row r="10" spans="1:44" ht="14.45">
      <c r="A10" s="63" t="s">
        <v>262</v>
      </c>
      <c r="B10" s="26" t="s">
        <v>63</v>
      </c>
      <c r="E10" s="29"/>
      <c r="F10" s="7">
        <f>Manpower!G26</f>
        <v>4</v>
      </c>
      <c r="G10" s="7">
        <f>Manpower!H26</f>
        <v>4</v>
      </c>
      <c r="H10" s="7">
        <f>Manpower!I26</f>
        <v>4</v>
      </c>
      <c r="I10" s="7">
        <f>Manpower!J26</f>
        <v>4</v>
      </c>
      <c r="J10" s="7">
        <f>Manpower!K26</f>
        <v>4</v>
      </c>
      <c r="K10" s="7">
        <f>Manpower!L26</f>
        <v>4</v>
      </c>
      <c r="L10" s="7">
        <f>Manpower!M26</f>
        <v>4</v>
      </c>
      <c r="M10" s="7">
        <f>Manpower!N26</f>
        <v>4</v>
      </c>
      <c r="N10" s="7">
        <f>Manpower!O26</f>
        <v>4</v>
      </c>
      <c r="O10" s="7">
        <f>Manpower!P26</f>
        <v>4</v>
      </c>
      <c r="P10" s="7">
        <f>Manpower!Q26</f>
        <v>4</v>
      </c>
      <c r="Q10" s="7">
        <f>Manpower!R26</f>
        <v>4</v>
      </c>
      <c r="R10" s="7">
        <f>Manpower!S26</f>
        <v>4</v>
      </c>
      <c r="S10" s="7">
        <f>Manpower!T26</f>
        <v>4</v>
      </c>
      <c r="T10" s="7">
        <f>Manpower!U26</f>
        <v>4</v>
      </c>
      <c r="U10" s="7">
        <f>Manpower!V26</f>
        <v>4</v>
      </c>
      <c r="V10" s="7">
        <f>Manpower!W26</f>
        <v>4</v>
      </c>
      <c r="W10" s="7">
        <f>Manpower!X26</f>
        <v>4</v>
      </c>
      <c r="X10" s="7">
        <f>Manpower!Y26</f>
        <v>4</v>
      </c>
      <c r="Y10" s="7">
        <f>Manpower!Z26</f>
        <v>4</v>
      </c>
      <c r="Z10" s="7">
        <f>Manpower!AA26</f>
        <v>4</v>
      </c>
      <c r="AA10" s="7">
        <f>Manpower!AB26</f>
        <v>4</v>
      </c>
      <c r="AB10" s="7">
        <f>Manpower!AC26</f>
        <v>4</v>
      </c>
      <c r="AC10" s="7">
        <f>Manpower!AD26</f>
        <v>4</v>
      </c>
      <c r="AD10" s="7">
        <f>Manpower!AE26</f>
        <v>4</v>
      </c>
      <c r="AE10" s="7">
        <f>Manpower!AF26</f>
        <v>4</v>
      </c>
      <c r="AF10" s="7">
        <f>Manpower!AG26</f>
        <v>4</v>
      </c>
      <c r="AG10" s="7">
        <f>Manpower!AH26</f>
        <v>4</v>
      </c>
      <c r="AH10" s="7">
        <f>Manpower!AI26</f>
        <v>4</v>
      </c>
      <c r="AI10" s="7">
        <f>Manpower!AJ26</f>
        <v>4</v>
      </c>
      <c r="AJ10" s="7">
        <f>Manpower!AK26</f>
        <v>4</v>
      </c>
      <c r="AK10" s="7">
        <f>Manpower!AL26</f>
        <v>4</v>
      </c>
      <c r="AL10" s="7">
        <f>Manpower!AM26</f>
        <v>4</v>
      </c>
      <c r="AM10" s="7">
        <f>Manpower!AN26</f>
        <v>4</v>
      </c>
      <c r="AN10" s="7">
        <f>Manpower!AO26</f>
        <v>4</v>
      </c>
      <c r="AO10" s="7">
        <f>Manpower!AP26</f>
        <v>4</v>
      </c>
      <c r="AP10" s="7"/>
      <c r="AQ10" s="7">
        <f>Manpower!AU26</f>
        <v>4</v>
      </c>
      <c r="AR10" s="7">
        <f>Manpower!AV26</f>
        <v>4</v>
      </c>
    </row>
    <row r="11" spans="1:44" ht="14.45">
      <c r="A11" s="63" t="s">
        <v>262</v>
      </c>
      <c r="B11" s="26" t="s">
        <v>63</v>
      </c>
      <c r="E11" s="29"/>
      <c r="F11" s="7">
        <f>Manpower!G27</f>
        <v>3</v>
      </c>
      <c r="G11" s="7">
        <f>Manpower!H27</f>
        <v>3</v>
      </c>
      <c r="H11" s="7">
        <f>Manpower!I27</f>
        <v>3</v>
      </c>
      <c r="I11" s="7">
        <f>Manpower!J27</f>
        <v>3</v>
      </c>
      <c r="J11" s="7">
        <f>Manpower!K27</f>
        <v>3</v>
      </c>
      <c r="K11" s="7">
        <f>Manpower!L27</f>
        <v>3</v>
      </c>
      <c r="L11" s="7">
        <f>Manpower!M27</f>
        <v>3</v>
      </c>
      <c r="M11" s="7">
        <f>Manpower!N27</f>
        <v>3</v>
      </c>
      <c r="N11" s="7">
        <f>Manpower!O27</f>
        <v>3</v>
      </c>
      <c r="O11" s="7">
        <f>Manpower!P27</f>
        <v>3</v>
      </c>
      <c r="P11" s="7">
        <f>Manpower!Q27</f>
        <v>3</v>
      </c>
      <c r="Q11" s="7">
        <f>Manpower!R27</f>
        <v>3</v>
      </c>
      <c r="R11" s="7">
        <f>Manpower!S27</f>
        <v>3</v>
      </c>
      <c r="S11" s="7">
        <f>Manpower!T27</f>
        <v>3</v>
      </c>
      <c r="T11" s="7">
        <f>Manpower!U27</f>
        <v>3</v>
      </c>
      <c r="U11" s="7">
        <f>Manpower!V27</f>
        <v>3</v>
      </c>
      <c r="V11" s="7">
        <f>Manpower!W27</f>
        <v>3</v>
      </c>
      <c r="W11" s="7">
        <f>Manpower!X27</f>
        <v>3</v>
      </c>
      <c r="X11" s="7">
        <f>Manpower!Y27</f>
        <v>3</v>
      </c>
      <c r="Y11" s="7">
        <f>Manpower!Z27</f>
        <v>3</v>
      </c>
      <c r="Z11" s="7">
        <f>Manpower!AA27</f>
        <v>3</v>
      </c>
      <c r="AA11" s="7">
        <f>Manpower!AB27</f>
        <v>3</v>
      </c>
      <c r="AB11" s="7">
        <f>Manpower!AC27</f>
        <v>3</v>
      </c>
      <c r="AC11" s="7">
        <f>Manpower!AD27</f>
        <v>3</v>
      </c>
      <c r="AD11" s="7">
        <f>Manpower!AE27</f>
        <v>3</v>
      </c>
      <c r="AE11" s="7">
        <f>Manpower!AF27</f>
        <v>3</v>
      </c>
      <c r="AF11" s="7">
        <f>Manpower!AG27</f>
        <v>3</v>
      </c>
      <c r="AG11" s="7">
        <f>Manpower!AH27</f>
        <v>3</v>
      </c>
      <c r="AH11" s="7">
        <f>Manpower!AI27</f>
        <v>3</v>
      </c>
      <c r="AI11" s="7">
        <f>Manpower!AJ27</f>
        <v>3</v>
      </c>
      <c r="AJ11" s="7">
        <f>Manpower!AK27</f>
        <v>3</v>
      </c>
      <c r="AK11" s="7">
        <f>Manpower!AL27</f>
        <v>3</v>
      </c>
      <c r="AL11" s="7">
        <f>Manpower!AM27</f>
        <v>3</v>
      </c>
      <c r="AM11" s="7">
        <f>Manpower!AN27</f>
        <v>3</v>
      </c>
      <c r="AN11" s="7">
        <f>Manpower!AO27</f>
        <v>3</v>
      </c>
      <c r="AO11" s="7">
        <f>Manpower!AP27</f>
        <v>3</v>
      </c>
      <c r="AP11" s="7"/>
      <c r="AQ11" s="7">
        <f>Manpower!AU27</f>
        <v>3</v>
      </c>
      <c r="AR11" s="7">
        <f>Manpower!AV27</f>
        <v>3</v>
      </c>
    </row>
    <row r="12" spans="1:44" ht="14.45">
      <c r="A12" s="63" t="s">
        <v>262</v>
      </c>
      <c r="B12" s="26" t="s">
        <v>63</v>
      </c>
      <c r="E12" s="29"/>
      <c r="F12" s="7">
        <f>Manpower!G28</f>
        <v>0</v>
      </c>
      <c r="G12" s="7">
        <f>Manpower!H28</f>
        <v>0</v>
      </c>
      <c r="H12" s="7">
        <f>Manpower!I28</f>
        <v>0</v>
      </c>
      <c r="I12" s="7">
        <f>Manpower!J28</f>
        <v>0</v>
      </c>
      <c r="J12" s="7">
        <f>Manpower!K28</f>
        <v>0</v>
      </c>
      <c r="K12" s="7">
        <f>Manpower!L28</f>
        <v>0</v>
      </c>
      <c r="L12" s="7">
        <f>Manpower!M28</f>
        <v>0</v>
      </c>
      <c r="M12" s="7">
        <f>Manpower!N28</f>
        <v>3</v>
      </c>
      <c r="N12" s="7">
        <f>Manpower!O28</f>
        <v>3</v>
      </c>
      <c r="O12" s="7">
        <f>Manpower!P28</f>
        <v>3</v>
      </c>
      <c r="P12" s="7">
        <f>Manpower!Q28</f>
        <v>3</v>
      </c>
      <c r="Q12" s="7">
        <f>Manpower!R28</f>
        <v>3</v>
      </c>
      <c r="R12" s="7">
        <f>Manpower!S28</f>
        <v>3</v>
      </c>
      <c r="S12" s="7">
        <f>Manpower!T28</f>
        <v>3</v>
      </c>
      <c r="T12" s="7">
        <f>Manpower!U28</f>
        <v>3</v>
      </c>
      <c r="U12" s="7">
        <f>Manpower!V28</f>
        <v>3</v>
      </c>
      <c r="V12" s="7">
        <f>Manpower!W28</f>
        <v>3</v>
      </c>
      <c r="W12" s="7">
        <f>Manpower!X28</f>
        <v>3</v>
      </c>
      <c r="X12" s="7">
        <f>Manpower!Y28</f>
        <v>3</v>
      </c>
      <c r="Y12" s="7">
        <f>Manpower!Z28</f>
        <v>3</v>
      </c>
      <c r="Z12" s="7">
        <f>Manpower!AA28</f>
        <v>3</v>
      </c>
      <c r="AA12" s="7">
        <f>Manpower!AB28</f>
        <v>3</v>
      </c>
      <c r="AB12" s="7">
        <f>Manpower!AC28</f>
        <v>3</v>
      </c>
      <c r="AC12" s="7">
        <f>Manpower!AD28</f>
        <v>3</v>
      </c>
      <c r="AD12" s="7">
        <f>Manpower!AE28</f>
        <v>3</v>
      </c>
      <c r="AE12" s="7">
        <f>Manpower!AF28</f>
        <v>3</v>
      </c>
      <c r="AF12" s="7">
        <f>Manpower!AG28</f>
        <v>3</v>
      </c>
      <c r="AG12" s="7">
        <f>Manpower!AH28</f>
        <v>3</v>
      </c>
      <c r="AH12" s="7">
        <f>Manpower!AI28</f>
        <v>3</v>
      </c>
      <c r="AI12" s="7">
        <f>Manpower!AJ28</f>
        <v>3</v>
      </c>
      <c r="AJ12" s="7">
        <f>Manpower!AK28</f>
        <v>3</v>
      </c>
      <c r="AK12" s="7">
        <f>Manpower!AL28</f>
        <v>3</v>
      </c>
      <c r="AL12" s="7">
        <f>Manpower!AM28</f>
        <v>3</v>
      </c>
      <c r="AM12" s="7">
        <f>Manpower!AN28</f>
        <v>3</v>
      </c>
      <c r="AN12" s="7">
        <f>Manpower!AO28</f>
        <v>3</v>
      </c>
      <c r="AO12" s="7">
        <f>Manpower!AP28</f>
        <v>3</v>
      </c>
      <c r="AP12" s="7"/>
      <c r="AQ12" s="7">
        <f>Manpower!AU28</f>
        <v>3</v>
      </c>
      <c r="AR12" s="7">
        <f>Manpower!AV28</f>
        <v>3</v>
      </c>
    </row>
    <row r="13" spans="1:44" ht="14.45">
      <c r="A13" s="30" t="s">
        <v>263</v>
      </c>
      <c r="B13" s="26"/>
      <c r="E13" s="29"/>
      <c r="F13" s="7">
        <f>SUM(F10:F12)</f>
        <v>7</v>
      </c>
      <c r="G13" s="7">
        <f t="shared" ref="G13:AR13" si="0">SUM(G10:G12)</f>
        <v>7</v>
      </c>
      <c r="H13" s="7">
        <f t="shared" si="0"/>
        <v>7</v>
      </c>
      <c r="I13" s="7">
        <f t="shared" si="0"/>
        <v>7</v>
      </c>
      <c r="J13" s="7">
        <f t="shared" si="0"/>
        <v>7</v>
      </c>
      <c r="K13" s="7">
        <f t="shared" si="0"/>
        <v>7</v>
      </c>
      <c r="L13" s="7">
        <f t="shared" si="0"/>
        <v>7</v>
      </c>
      <c r="M13" s="7">
        <f t="shared" si="0"/>
        <v>10</v>
      </c>
      <c r="N13" s="7">
        <f t="shared" si="0"/>
        <v>10</v>
      </c>
      <c r="O13" s="7">
        <f t="shared" si="0"/>
        <v>10</v>
      </c>
      <c r="P13" s="7">
        <f t="shared" si="0"/>
        <v>10</v>
      </c>
      <c r="Q13" s="7">
        <f t="shared" si="0"/>
        <v>10</v>
      </c>
      <c r="R13" s="7">
        <f t="shared" si="0"/>
        <v>10</v>
      </c>
      <c r="S13" s="7">
        <f t="shared" si="0"/>
        <v>10</v>
      </c>
      <c r="T13" s="7">
        <f t="shared" si="0"/>
        <v>10</v>
      </c>
      <c r="U13" s="7">
        <f t="shared" si="0"/>
        <v>10</v>
      </c>
      <c r="V13" s="7">
        <f t="shared" si="0"/>
        <v>10</v>
      </c>
      <c r="W13" s="7">
        <f t="shared" si="0"/>
        <v>10</v>
      </c>
      <c r="X13" s="7">
        <f t="shared" si="0"/>
        <v>10</v>
      </c>
      <c r="Y13" s="7">
        <f t="shared" si="0"/>
        <v>10</v>
      </c>
      <c r="Z13" s="7">
        <f t="shared" si="0"/>
        <v>10</v>
      </c>
      <c r="AA13" s="7">
        <f t="shared" si="0"/>
        <v>10</v>
      </c>
      <c r="AB13" s="7">
        <f t="shared" si="0"/>
        <v>10</v>
      </c>
      <c r="AC13" s="7">
        <f t="shared" si="0"/>
        <v>10</v>
      </c>
      <c r="AD13" s="7">
        <f t="shared" si="0"/>
        <v>10</v>
      </c>
      <c r="AE13" s="7">
        <f t="shared" si="0"/>
        <v>10</v>
      </c>
      <c r="AF13" s="7">
        <f t="shared" si="0"/>
        <v>10</v>
      </c>
      <c r="AG13" s="7">
        <f t="shared" si="0"/>
        <v>10</v>
      </c>
      <c r="AH13" s="7">
        <f t="shared" si="0"/>
        <v>10</v>
      </c>
      <c r="AI13" s="7">
        <f t="shared" si="0"/>
        <v>10</v>
      </c>
      <c r="AJ13" s="7">
        <f t="shared" si="0"/>
        <v>10</v>
      </c>
      <c r="AK13" s="7">
        <f t="shared" si="0"/>
        <v>10</v>
      </c>
      <c r="AL13" s="7">
        <f t="shared" si="0"/>
        <v>10</v>
      </c>
      <c r="AM13" s="7">
        <f t="shared" si="0"/>
        <v>10</v>
      </c>
      <c r="AN13" s="7">
        <f t="shared" si="0"/>
        <v>10</v>
      </c>
      <c r="AO13" s="7">
        <f t="shared" si="0"/>
        <v>10</v>
      </c>
      <c r="AP13" s="7"/>
      <c r="AQ13" s="7">
        <f t="shared" si="0"/>
        <v>10</v>
      </c>
      <c r="AR13" s="7">
        <f t="shared" si="0"/>
        <v>10</v>
      </c>
    </row>
    <row r="14" spans="1:44" ht="14.45">
      <c r="A14" s="30" t="s">
        <v>264</v>
      </c>
      <c r="B14" s="26"/>
      <c r="E14" s="29"/>
      <c r="F14" s="7">
        <f>F13</f>
        <v>7</v>
      </c>
      <c r="G14" s="7">
        <f>F14-G13</f>
        <v>0</v>
      </c>
      <c r="H14" s="7">
        <f t="shared" ref="H14:AO14" si="1">H13-G13</f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3</v>
      </c>
      <c r="N14" s="7">
        <f t="shared" si="1"/>
        <v>0</v>
      </c>
      <c r="O14" s="7">
        <f t="shared" si="1"/>
        <v>0</v>
      </c>
      <c r="P14" s="7">
        <f t="shared" si="1"/>
        <v>0</v>
      </c>
      <c r="Q14" s="7">
        <f t="shared" si="1"/>
        <v>0</v>
      </c>
      <c r="R14" s="7">
        <f t="shared" si="1"/>
        <v>0</v>
      </c>
      <c r="S14" s="7">
        <f t="shared" si="1"/>
        <v>0</v>
      </c>
      <c r="T14" s="7">
        <f t="shared" si="1"/>
        <v>0</v>
      </c>
      <c r="U14" s="7">
        <f t="shared" si="1"/>
        <v>0</v>
      </c>
      <c r="V14" s="7">
        <f t="shared" si="1"/>
        <v>0</v>
      </c>
      <c r="W14" s="7">
        <f t="shared" si="1"/>
        <v>0</v>
      </c>
      <c r="X14" s="7">
        <f t="shared" si="1"/>
        <v>0</v>
      </c>
      <c r="Y14" s="7">
        <f t="shared" si="1"/>
        <v>0</v>
      </c>
      <c r="Z14" s="7">
        <f t="shared" si="1"/>
        <v>0</v>
      </c>
      <c r="AA14" s="7">
        <f t="shared" si="1"/>
        <v>0</v>
      </c>
      <c r="AB14" s="7">
        <f t="shared" si="1"/>
        <v>0</v>
      </c>
      <c r="AC14" s="7">
        <f t="shared" si="1"/>
        <v>0</v>
      </c>
      <c r="AD14" s="7">
        <f t="shared" si="1"/>
        <v>0</v>
      </c>
      <c r="AE14" s="7">
        <f t="shared" si="1"/>
        <v>0</v>
      </c>
      <c r="AF14" s="7">
        <f t="shared" si="1"/>
        <v>0</v>
      </c>
      <c r="AG14" s="7">
        <f t="shared" si="1"/>
        <v>0</v>
      </c>
      <c r="AH14" s="7">
        <f t="shared" si="1"/>
        <v>0</v>
      </c>
      <c r="AI14" s="7">
        <f t="shared" si="1"/>
        <v>0</v>
      </c>
      <c r="AJ14" s="7">
        <f t="shared" si="1"/>
        <v>0</v>
      </c>
      <c r="AK14" s="7">
        <f t="shared" si="1"/>
        <v>0</v>
      </c>
      <c r="AL14" s="7">
        <f t="shared" si="1"/>
        <v>0</v>
      </c>
      <c r="AM14" s="7">
        <f t="shared" si="1"/>
        <v>0</v>
      </c>
      <c r="AN14" s="7">
        <f t="shared" si="1"/>
        <v>0</v>
      </c>
      <c r="AO14" s="7">
        <f t="shared" si="1"/>
        <v>0</v>
      </c>
      <c r="AP14" s="7"/>
      <c r="AQ14" s="7">
        <f>AQ13</f>
        <v>10</v>
      </c>
      <c r="AR14" s="7">
        <f>AR13-AQ13</f>
        <v>0</v>
      </c>
    </row>
    <row r="15" spans="1:44" ht="14.45"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1:44" ht="14.45">
      <c r="A16" s="5" t="s">
        <v>265</v>
      </c>
      <c r="E16" s="2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44" ht="14.45">
      <c r="A17" s="56" t="s">
        <v>172</v>
      </c>
      <c r="B17" s="26" t="s">
        <v>63</v>
      </c>
      <c r="E17" s="27"/>
      <c r="F17" s="7">
        <f>Manpower!$C26*CAPEX!F10</f>
        <v>480000</v>
      </c>
      <c r="G17" s="7">
        <f>Manpower!$C26*CAPEX!G10</f>
        <v>480000</v>
      </c>
      <c r="H17" s="7">
        <f>Manpower!$C26*CAPEX!H10</f>
        <v>480000</v>
      </c>
      <c r="I17" s="7">
        <f>Manpower!$C26*CAPEX!I10</f>
        <v>480000</v>
      </c>
      <c r="J17" s="7">
        <f>Manpower!$C26*CAPEX!J10</f>
        <v>480000</v>
      </c>
      <c r="K17" s="7">
        <f>Manpower!$C26*CAPEX!K10</f>
        <v>480000</v>
      </c>
      <c r="L17" s="7">
        <f>Manpower!$C26*CAPEX!L10</f>
        <v>480000</v>
      </c>
      <c r="M17" s="7">
        <f>Manpower!$C26*CAPEX!M10</f>
        <v>480000</v>
      </c>
      <c r="N17" s="7">
        <f>Manpower!$C26*CAPEX!N10</f>
        <v>480000</v>
      </c>
      <c r="O17" s="7">
        <f>Manpower!$C26*CAPEX!O10</f>
        <v>480000</v>
      </c>
      <c r="P17" s="7">
        <f>Manpower!$C26*CAPEX!P10</f>
        <v>480000</v>
      </c>
      <c r="Q17" s="7">
        <f>Manpower!$C26*CAPEX!Q10</f>
        <v>480000</v>
      </c>
      <c r="R17" s="7">
        <f>Manpower!$D26*CAPEX!R10</f>
        <v>528000</v>
      </c>
      <c r="S17" s="7">
        <f>Manpower!$D26*CAPEX!S10</f>
        <v>528000</v>
      </c>
      <c r="T17" s="7">
        <f>Manpower!$D26*CAPEX!T10</f>
        <v>528000</v>
      </c>
      <c r="U17" s="7">
        <f>Manpower!$D26*CAPEX!U10</f>
        <v>528000</v>
      </c>
      <c r="V17" s="7">
        <f>Manpower!$D26*CAPEX!V10</f>
        <v>528000</v>
      </c>
      <c r="W17" s="7">
        <f>Manpower!$D26*CAPEX!W10</f>
        <v>528000</v>
      </c>
      <c r="X17" s="7">
        <f>Manpower!$D26*CAPEX!X10</f>
        <v>528000</v>
      </c>
      <c r="Y17" s="7">
        <f>Manpower!$D26*CAPEX!Y10</f>
        <v>528000</v>
      </c>
      <c r="Z17" s="7">
        <f>Manpower!$D26*CAPEX!Z10</f>
        <v>528000</v>
      </c>
      <c r="AA17" s="7">
        <f>Manpower!$D26*CAPEX!AA10</f>
        <v>528000</v>
      </c>
      <c r="AB17" s="7">
        <f>Manpower!$D26*CAPEX!AB10</f>
        <v>528000</v>
      </c>
      <c r="AC17" s="7">
        <f>Manpower!$D26*CAPEX!AC10</f>
        <v>528000</v>
      </c>
      <c r="AD17" s="7">
        <f>Manpower!$E26*CAPEX!AD10</f>
        <v>580800</v>
      </c>
      <c r="AE17" s="7">
        <f>Manpower!$E26*CAPEX!AE10</f>
        <v>580800</v>
      </c>
      <c r="AF17" s="7">
        <f>Manpower!$E26*CAPEX!AF10</f>
        <v>580800</v>
      </c>
      <c r="AG17" s="7">
        <f>Manpower!$E26*CAPEX!AG10</f>
        <v>580800</v>
      </c>
      <c r="AH17" s="7">
        <f>Manpower!$E26*CAPEX!AH10</f>
        <v>580800</v>
      </c>
      <c r="AI17" s="7">
        <f>Manpower!$E26*CAPEX!AI10</f>
        <v>580800</v>
      </c>
      <c r="AJ17" s="7">
        <f>Manpower!$E26*CAPEX!AJ10</f>
        <v>580800</v>
      </c>
      <c r="AK17" s="7">
        <f>Manpower!$E26*CAPEX!AK10</f>
        <v>580800</v>
      </c>
      <c r="AL17" s="7">
        <f>Manpower!$E26*CAPEX!AL10</f>
        <v>580800</v>
      </c>
      <c r="AM17" s="7">
        <f>Manpower!$E26*CAPEX!AM10</f>
        <v>580800</v>
      </c>
      <c r="AN17" s="7">
        <f>Manpower!$E26*CAPEX!AN10</f>
        <v>580800</v>
      </c>
      <c r="AO17" s="7">
        <f>Manpower!$E26*CAPEX!AO10</f>
        <v>580800</v>
      </c>
      <c r="AP17" s="7"/>
      <c r="AQ17" s="7">
        <f>Manpower!AR26*AQ10</f>
        <v>7666560</v>
      </c>
      <c r="AR17" s="7">
        <f>Manpower!AS26*AR10</f>
        <v>8433216</v>
      </c>
    </row>
    <row r="18" spans="1:44" ht="14.45">
      <c r="A18" s="56" t="s">
        <v>174</v>
      </c>
      <c r="B18" s="26" t="s">
        <v>63</v>
      </c>
      <c r="E18" s="27"/>
      <c r="F18" s="7">
        <f>Manpower!$C27*CAPEX!F11</f>
        <v>300000</v>
      </c>
      <c r="G18" s="7">
        <f>Manpower!$C27*CAPEX!G11</f>
        <v>300000</v>
      </c>
      <c r="H18" s="7">
        <f>Manpower!$C27*CAPEX!H11</f>
        <v>300000</v>
      </c>
      <c r="I18" s="7">
        <f>Manpower!$C27*CAPEX!I11</f>
        <v>300000</v>
      </c>
      <c r="J18" s="7">
        <f>Manpower!$C27*CAPEX!J11</f>
        <v>300000</v>
      </c>
      <c r="K18" s="7">
        <f>Manpower!$C27*CAPEX!K11</f>
        <v>300000</v>
      </c>
      <c r="L18" s="7">
        <f>Manpower!$C27*CAPEX!L11</f>
        <v>300000</v>
      </c>
      <c r="M18" s="7">
        <f>Manpower!$C27*CAPEX!M11</f>
        <v>300000</v>
      </c>
      <c r="N18" s="7">
        <f>Manpower!$C27*CAPEX!N11</f>
        <v>300000</v>
      </c>
      <c r="O18" s="7">
        <f>Manpower!$C27*CAPEX!O11</f>
        <v>300000</v>
      </c>
      <c r="P18" s="7">
        <f>Manpower!$C27*CAPEX!P11</f>
        <v>300000</v>
      </c>
      <c r="Q18" s="7">
        <f>Manpower!$C27*CAPEX!Q11</f>
        <v>300000</v>
      </c>
      <c r="R18" s="7">
        <f>Manpower!$D27*CAPEX!R11</f>
        <v>330000.00000000006</v>
      </c>
      <c r="S18" s="7">
        <f>Manpower!$D27*CAPEX!S11</f>
        <v>330000.00000000006</v>
      </c>
      <c r="T18" s="7">
        <f>Manpower!$D27*CAPEX!T11</f>
        <v>330000.00000000006</v>
      </c>
      <c r="U18" s="7">
        <f>Manpower!$D27*CAPEX!U11</f>
        <v>330000.00000000006</v>
      </c>
      <c r="V18" s="7">
        <f>Manpower!$D27*CAPEX!V11</f>
        <v>330000.00000000006</v>
      </c>
      <c r="W18" s="7">
        <f>Manpower!$D27*CAPEX!W11</f>
        <v>330000.00000000006</v>
      </c>
      <c r="X18" s="7">
        <f>Manpower!$D27*CAPEX!X11</f>
        <v>330000.00000000006</v>
      </c>
      <c r="Y18" s="7">
        <f>Manpower!$D27*CAPEX!Y11</f>
        <v>330000.00000000006</v>
      </c>
      <c r="Z18" s="7">
        <f>Manpower!$D27*CAPEX!Z11</f>
        <v>330000.00000000006</v>
      </c>
      <c r="AA18" s="7">
        <f>Manpower!$D27*CAPEX!AA11</f>
        <v>330000.00000000006</v>
      </c>
      <c r="AB18" s="7">
        <f>Manpower!$D27*CAPEX!AB11</f>
        <v>330000.00000000006</v>
      </c>
      <c r="AC18" s="7">
        <f>Manpower!$D27*CAPEX!AC11</f>
        <v>330000.00000000006</v>
      </c>
      <c r="AD18" s="7">
        <f>Manpower!$E27*CAPEX!AD11</f>
        <v>363000.00000000012</v>
      </c>
      <c r="AE18" s="7">
        <f>Manpower!$E27*CAPEX!AE11</f>
        <v>363000.00000000012</v>
      </c>
      <c r="AF18" s="7">
        <f>Manpower!$E27*CAPEX!AF11</f>
        <v>363000.00000000012</v>
      </c>
      <c r="AG18" s="7">
        <f>Manpower!$E27*CAPEX!AG11</f>
        <v>363000.00000000012</v>
      </c>
      <c r="AH18" s="7">
        <f>Manpower!$E27*CAPEX!AH11</f>
        <v>363000.00000000012</v>
      </c>
      <c r="AI18" s="7">
        <f>Manpower!$E27*CAPEX!AI11</f>
        <v>363000.00000000012</v>
      </c>
      <c r="AJ18" s="7">
        <f>Manpower!$E27*CAPEX!AJ11</f>
        <v>363000.00000000012</v>
      </c>
      <c r="AK18" s="7">
        <f>Manpower!$E27*CAPEX!AK11</f>
        <v>363000.00000000012</v>
      </c>
      <c r="AL18" s="7">
        <f>Manpower!$E27*CAPEX!AL11</f>
        <v>363000.00000000012</v>
      </c>
      <c r="AM18" s="7">
        <f>Manpower!$E27*CAPEX!AM11</f>
        <v>363000.00000000012</v>
      </c>
      <c r="AN18" s="7">
        <f>Manpower!$E27*CAPEX!AN11</f>
        <v>363000.00000000012</v>
      </c>
      <c r="AO18" s="7">
        <f>Manpower!$E27*CAPEX!AO11</f>
        <v>363000.00000000012</v>
      </c>
      <c r="AP18" s="7"/>
      <c r="AQ18" s="7">
        <f>Manpower!AR27*AQ11</f>
        <v>4791600.0000000019</v>
      </c>
      <c r="AR18" s="7">
        <f>Manpower!AS27*AR11</f>
        <v>5270760.0000000019</v>
      </c>
    </row>
    <row r="19" spans="1:44" ht="14.45">
      <c r="A19" s="56" t="s">
        <v>175</v>
      </c>
      <c r="B19" s="26" t="s">
        <v>63</v>
      </c>
      <c r="F19" s="7">
        <f>Manpower!$C28*CAPEX!F12</f>
        <v>0</v>
      </c>
      <c r="G19" s="7">
        <f>Manpower!$C28*CAPEX!G12</f>
        <v>0</v>
      </c>
      <c r="H19" s="7">
        <f>Manpower!$C28*CAPEX!H12</f>
        <v>0</v>
      </c>
      <c r="I19" s="7">
        <f>Manpower!$C28*CAPEX!I12</f>
        <v>0</v>
      </c>
      <c r="J19" s="7">
        <f>Manpower!$C28*CAPEX!J12</f>
        <v>0</v>
      </c>
      <c r="K19" s="7">
        <f>Manpower!$C28*CAPEX!K12</f>
        <v>0</v>
      </c>
      <c r="L19" s="7">
        <f>Manpower!$C28*CAPEX!L12</f>
        <v>0</v>
      </c>
      <c r="M19" s="7">
        <f>Manpower!$C28*CAPEX!M12</f>
        <v>300000</v>
      </c>
      <c r="N19" s="7">
        <f>Manpower!$C28*CAPEX!N12</f>
        <v>300000</v>
      </c>
      <c r="O19" s="7">
        <f>Manpower!$C28*CAPEX!O12</f>
        <v>300000</v>
      </c>
      <c r="P19" s="7">
        <f>Manpower!$C28*CAPEX!P12</f>
        <v>300000</v>
      </c>
      <c r="Q19" s="7">
        <f>Manpower!$C28*CAPEX!Q12</f>
        <v>300000</v>
      </c>
      <c r="R19" s="7">
        <f>Manpower!$D28*CAPEX!R12</f>
        <v>330000.00000000006</v>
      </c>
      <c r="S19" s="7">
        <f>Manpower!$D28*CAPEX!S12</f>
        <v>330000.00000000006</v>
      </c>
      <c r="T19" s="7">
        <f>Manpower!$D28*CAPEX!T12</f>
        <v>330000.00000000006</v>
      </c>
      <c r="U19" s="7">
        <f>Manpower!$D28*CAPEX!U12</f>
        <v>330000.00000000006</v>
      </c>
      <c r="V19" s="7">
        <f>Manpower!$D28*CAPEX!V12</f>
        <v>330000.00000000006</v>
      </c>
      <c r="W19" s="7">
        <f>Manpower!$D28*CAPEX!W12</f>
        <v>330000.00000000006</v>
      </c>
      <c r="X19" s="7">
        <f>Manpower!$D28*CAPEX!X12</f>
        <v>330000.00000000006</v>
      </c>
      <c r="Y19" s="7">
        <f>Manpower!$D28*CAPEX!Y12</f>
        <v>330000.00000000006</v>
      </c>
      <c r="Z19" s="7">
        <f>Manpower!$D28*CAPEX!Z12</f>
        <v>330000.00000000006</v>
      </c>
      <c r="AA19" s="7">
        <f>Manpower!$D28*CAPEX!AA12</f>
        <v>330000.00000000006</v>
      </c>
      <c r="AB19" s="7">
        <f>Manpower!$D28*CAPEX!AB12</f>
        <v>330000.00000000006</v>
      </c>
      <c r="AC19" s="7">
        <f>Manpower!$D28*CAPEX!AC12</f>
        <v>330000.00000000006</v>
      </c>
      <c r="AD19" s="7">
        <f>Manpower!$E28*CAPEX!AD12</f>
        <v>363000.00000000012</v>
      </c>
      <c r="AE19" s="7">
        <f>Manpower!$E28*CAPEX!AE12</f>
        <v>363000.00000000012</v>
      </c>
      <c r="AF19" s="7">
        <f>Manpower!$E28*CAPEX!AF12</f>
        <v>363000.00000000012</v>
      </c>
      <c r="AG19" s="7">
        <f>Manpower!$E28*CAPEX!AG12</f>
        <v>363000.00000000012</v>
      </c>
      <c r="AH19" s="7">
        <f>Manpower!$E28*CAPEX!AH12</f>
        <v>363000.00000000012</v>
      </c>
      <c r="AI19" s="7">
        <f>Manpower!$E28*CAPEX!AI12</f>
        <v>363000.00000000012</v>
      </c>
      <c r="AJ19" s="7">
        <f>Manpower!$E28*CAPEX!AJ12</f>
        <v>363000.00000000012</v>
      </c>
      <c r="AK19" s="7">
        <f>Manpower!$E28*CAPEX!AK12</f>
        <v>363000.00000000012</v>
      </c>
      <c r="AL19" s="7">
        <f>Manpower!$E28*CAPEX!AL12</f>
        <v>363000.00000000012</v>
      </c>
      <c r="AM19" s="7">
        <f>Manpower!$E28*CAPEX!AM12</f>
        <v>363000.00000000012</v>
      </c>
      <c r="AN19" s="7">
        <f>Manpower!$E28*CAPEX!AN12</f>
        <v>363000.00000000012</v>
      </c>
      <c r="AO19" s="7">
        <f>Manpower!$E28*CAPEX!AO12</f>
        <v>363000.00000000012</v>
      </c>
      <c r="AP19" s="7"/>
      <c r="AQ19" s="7">
        <f>Manpower!AR28*AQ12</f>
        <v>4791600.0000000019</v>
      </c>
      <c r="AR19" s="7">
        <f>Manpower!AS28*AR12</f>
        <v>5270760.0000000019</v>
      </c>
    </row>
    <row r="20" spans="1:44" ht="14.45">
      <c r="A20" s="4" t="s">
        <v>266</v>
      </c>
      <c r="B20" s="4"/>
      <c r="C20" s="4"/>
      <c r="D20" s="4"/>
      <c r="E20" s="4"/>
      <c r="F20" s="103">
        <f>SUM(F17,F19)</f>
        <v>480000</v>
      </c>
      <c r="G20" s="103">
        <f t="shared" ref="G20:AO20" si="2">SUM(G17,G19)</f>
        <v>480000</v>
      </c>
      <c r="H20" s="103">
        <f t="shared" si="2"/>
        <v>480000</v>
      </c>
      <c r="I20" s="103">
        <f t="shared" si="2"/>
        <v>480000</v>
      </c>
      <c r="J20" s="103">
        <f t="shared" si="2"/>
        <v>480000</v>
      </c>
      <c r="K20" s="103">
        <f t="shared" si="2"/>
        <v>480000</v>
      </c>
      <c r="L20" s="103">
        <f t="shared" si="2"/>
        <v>480000</v>
      </c>
      <c r="M20" s="103">
        <f t="shared" si="2"/>
        <v>780000</v>
      </c>
      <c r="N20" s="103">
        <f t="shared" si="2"/>
        <v>780000</v>
      </c>
      <c r="O20" s="103">
        <f t="shared" si="2"/>
        <v>780000</v>
      </c>
      <c r="P20" s="103">
        <f t="shared" si="2"/>
        <v>780000</v>
      </c>
      <c r="Q20" s="103">
        <f t="shared" si="2"/>
        <v>780000</v>
      </c>
      <c r="R20" s="103">
        <f t="shared" si="2"/>
        <v>858000</v>
      </c>
      <c r="S20" s="103">
        <f t="shared" si="2"/>
        <v>858000</v>
      </c>
      <c r="T20" s="103">
        <f t="shared" si="2"/>
        <v>858000</v>
      </c>
      <c r="U20" s="103">
        <f t="shared" si="2"/>
        <v>858000</v>
      </c>
      <c r="V20" s="103">
        <f t="shared" si="2"/>
        <v>858000</v>
      </c>
      <c r="W20" s="103">
        <f t="shared" si="2"/>
        <v>858000</v>
      </c>
      <c r="X20" s="103">
        <f t="shared" si="2"/>
        <v>858000</v>
      </c>
      <c r="Y20" s="103">
        <f t="shared" si="2"/>
        <v>858000</v>
      </c>
      <c r="Z20" s="103">
        <f t="shared" si="2"/>
        <v>858000</v>
      </c>
      <c r="AA20" s="103">
        <f t="shared" si="2"/>
        <v>858000</v>
      </c>
      <c r="AB20" s="103">
        <f t="shared" si="2"/>
        <v>858000</v>
      </c>
      <c r="AC20" s="103">
        <f t="shared" si="2"/>
        <v>858000</v>
      </c>
      <c r="AD20" s="103">
        <f t="shared" si="2"/>
        <v>943800.00000000012</v>
      </c>
      <c r="AE20" s="103">
        <f t="shared" si="2"/>
        <v>943800.00000000012</v>
      </c>
      <c r="AF20" s="103">
        <f t="shared" si="2"/>
        <v>943800.00000000012</v>
      </c>
      <c r="AG20" s="103">
        <f t="shared" si="2"/>
        <v>943800.00000000012</v>
      </c>
      <c r="AH20" s="103">
        <f t="shared" si="2"/>
        <v>943800.00000000012</v>
      </c>
      <c r="AI20" s="103">
        <f t="shared" si="2"/>
        <v>943800.00000000012</v>
      </c>
      <c r="AJ20" s="103">
        <f t="shared" si="2"/>
        <v>943800.00000000012</v>
      </c>
      <c r="AK20" s="103">
        <f t="shared" si="2"/>
        <v>943800.00000000012</v>
      </c>
      <c r="AL20" s="103">
        <f t="shared" si="2"/>
        <v>943800.00000000012</v>
      </c>
      <c r="AM20" s="103">
        <f t="shared" si="2"/>
        <v>943800.00000000012</v>
      </c>
      <c r="AN20" s="103">
        <f t="shared" si="2"/>
        <v>943800.00000000012</v>
      </c>
      <c r="AO20" s="103">
        <f t="shared" si="2"/>
        <v>943800.00000000012</v>
      </c>
      <c r="AP20" s="7"/>
      <c r="AQ20" s="103">
        <f t="shared" ref="AQ20:AR20" si="3">SUM(AQ17,AQ19)</f>
        <v>12458160.000000002</v>
      </c>
      <c r="AR20" s="103">
        <f t="shared" si="3"/>
        <v>13703976.000000002</v>
      </c>
    </row>
    <row r="21" spans="1:44" ht="14.45">
      <c r="A21" s="5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44" ht="14.45">
      <c r="A22" s="62" t="s">
        <v>267</v>
      </c>
      <c r="C22" s="104">
        <v>70000</v>
      </c>
      <c r="F22" s="7">
        <f t="shared" ref="F22:AO22" si="4">$C$22*F14</f>
        <v>490000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4"/>
        <v>210000</v>
      </c>
      <c r="N22" s="7">
        <f t="shared" si="4"/>
        <v>0</v>
      </c>
      <c r="O22" s="7">
        <f t="shared" si="4"/>
        <v>0</v>
      </c>
      <c r="P22" s="7">
        <f t="shared" si="4"/>
        <v>0</v>
      </c>
      <c r="Q22" s="7">
        <f t="shared" si="4"/>
        <v>0</v>
      </c>
      <c r="R22" s="7">
        <f t="shared" si="4"/>
        <v>0</v>
      </c>
      <c r="S22" s="7">
        <f t="shared" si="4"/>
        <v>0</v>
      </c>
      <c r="T22" s="7">
        <f t="shared" si="4"/>
        <v>0</v>
      </c>
      <c r="U22" s="7">
        <f t="shared" si="4"/>
        <v>0</v>
      </c>
      <c r="V22" s="7">
        <f t="shared" si="4"/>
        <v>0</v>
      </c>
      <c r="W22" s="7">
        <f t="shared" si="4"/>
        <v>0</v>
      </c>
      <c r="X22" s="7">
        <f t="shared" si="4"/>
        <v>0</v>
      </c>
      <c r="Y22" s="7">
        <f t="shared" si="4"/>
        <v>0</v>
      </c>
      <c r="Z22" s="7">
        <f t="shared" si="4"/>
        <v>0</v>
      </c>
      <c r="AA22" s="7">
        <f t="shared" si="4"/>
        <v>0</v>
      </c>
      <c r="AB22" s="7">
        <f t="shared" si="4"/>
        <v>0</v>
      </c>
      <c r="AC22" s="7">
        <f t="shared" si="4"/>
        <v>0</v>
      </c>
      <c r="AD22" s="7">
        <f t="shared" si="4"/>
        <v>0</v>
      </c>
      <c r="AE22" s="7">
        <f t="shared" si="4"/>
        <v>0</v>
      </c>
      <c r="AF22" s="7">
        <f t="shared" si="4"/>
        <v>0</v>
      </c>
      <c r="AG22" s="7">
        <f t="shared" si="4"/>
        <v>0</v>
      </c>
      <c r="AH22" s="7">
        <f t="shared" si="4"/>
        <v>0</v>
      </c>
      <c r="AI22" s="7">
        <f t="shared" si="4"/>
        <v>0</v>
      </c>
      <c r="AJ22" s="7">
        <f t="shared" si="4"/>
        <v>0</v>
      </c>
      <c r="AK22" s="7">
        <f t="shared" si="4"/>
        <v>0</v>
      </c>
      <c r="AL22" s="7">
        <f t="shared" si="4"/>
        <v>0</v>
      </c>
      <c r="AM22" s="7">
        <f t="shared" si="4"/>
        <v>0</v>
      </c>
      <c r="AN22" s="7">
        <f t="shared" si="4"/>
        <v>0</v>
      </c>
      <c r="AO22" s="7">
        <f t="shared" si="4"/>
        <v>0</v>
      </c>
      <c r="AP22" s="7"/>
      <c r="AQ22" s="7">
        <f t="shared" ref="AQ22:AR22" si="5">$C$22*AQ14</f>
        <v>700000</v>
      </c>
      <c r="AR22" s="7">
        <f t="shared" si="5"/>
        <v>0</v>
      </c>
    </row>
    <row r="23" spans="1:44" ht="15.75" customHeight="1">
      <c r="A23" s="62" t="s">
        <v>268</v>
      </c>
      <c r="C23" s="104">
        <v>200000</v>
      </c>
      <c r="F23" s="7"/>
      <c r="G23" s="7"/>
      <c r="H23" s="7"/>
      <c r="I23" s="7">
        <v>200000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ht="15.75" customHeight="1">
      <c r="A24" s="62" t="s">
        <v>269</v>
      </c>
      <c r="F24" s="7">
        <f t="shared" ref="F24:AN24" si="6">SUM(F20,F22,F23)</f>
        <v>970000</v>
      </c>
      <c r="G24" s="7">
        <f t="shared" si="6"/>
        <v>480000</v>
      </c>
      <c r="H24" s="7">
        <f t="shared" si="6"/>
        <v>480000</v>
      </c>
      <c r="I24" s="7">
        <f t="shared" si="6"/>
        <v>680000</v>
      </c>
      <c r="J24" s="7">
        <f t="shared" si="6"/>
        <v>480000</v>
      </c>
      <c r="K24" s="7">
        <f t="shared" si="6"/>
        <v>480000</v>
      </c>
      <c r="L24" s="7">
        <f t="shared" si="6"/>
        <v>480000</v>
      </c>
      <c r="M24" s="7">
        <f t="shared" si="6"/>
        <v>990000</v>
      </c>
      <c r="N24" s="7">
        <f t="shared" si="6"/>
        <v>780000</v>
      </c>
      <c r="O24" s="7">
        <f t="shared" si="6"/>
        <v>780000</v>
      </c>
      <c r="P24" s="7">
        <f t="shared" si="6"/>
        <v>780000</v>
      </c>
      <c r="Q24" s="7">
        <f t="shared" si="6"/>
        <v>780000</v>
      </c>
      <c r="R24" s="7">
        <f t="shared" si="6"/>
        <v>858000</v>
      </c>
      <c r="S24" s="7">
        <f t="shared" si="6"/>
        <v>858000</v>
      </c>
      <c r="T24" s="7">
        <f t="shared" si="6"/>
        <v>858000</v>
      </c>
      <c r="U24" s="7">
        <f t="shared" si="6"/>
        <v>858000</v>
      </c>
      <c r="V24" s="7">
        <f t="shared" si="6"/>
        <v>858000</v>
      </c>
      <c r="W24" s="7">
        <f t="shared" si="6"/>
        <v>858000</v>
      </c>
      <c r="X24" s="7">
        <f t="shared" si="6"/>
        <v>858000</v>
      </c>
      <c r="Y24" s="7">
        <f t="shared" si="6"/>
        <v>858000</v>
      </c>
      <c r="Z24" s="7">
        <f t="shared" si="6"/>
        <v>858000</v>
      </c>
      <c r="AA24" s="7">
        <f t="shared" si="6"/>
        <v>858000</v>
      </c>
      <c r="AB24" s="7">
        <f t="shared" si="6"/>
        <v>858000</v>
      </c>
      <c r="AC24" s="7">
        <f t="shared" si="6"/>
        <v>858000</v>
      </c>
      <c r="AD24" s="7">
        <f t="shared" si="6"/>
        <v>943800.00000000012</v>
      </c>
      <c r="AE24" s="7">
        <f t="shared" si="6"/>
        <v>943800.00000000012</v>
      </c>
      <c r="AF24" s="7">
        <f t="shared" si="6"/>
        <v>943800.00000000012</v>
      </c>
      <c r="AG24" s="7">
        <f t="shared" si="6"/>
        <v>943800.00000000012</v>
      </c>
      <c r="AH24" s="7">
        <f t="shared" si="6"/>
        <v>943800.00000000012</v>
      </c>
      <c r="AI24" s="7">
        <f t="shared" si="6"/>
        <v>943800.00000000012</v>
      </c>
      <c r="AJ24" s="7">
        <f t="shared" si="6"/>
        <v>943800.00000000012</v>
      </c>
      <c r="AK24" s="7">
        <f t="shared" si="6"/>
        <v>943800.00000000012</v>
      </c>
      <c r="AL24" s="7">
        <f t="shared" si="6"/>
        <v>943800.00000000012</v>
      </c>
      <c r="AM24" s="7">
        <f t="shared" si="6"/>
        <v>943800.00000000012</v>
      </c>
      <c r="AN24" s="7">
        <f t="shared" si="6"/>
        <v>943800.00000000012</v>
      </c>
      <c r="AO24" s="7">
        <f>SUM(AO20,AO22,AO23)</f>
        <v>943800.00000000012</v>
      </c>
      <c r="AP24" s="7"/>
      <c r="AQ24" s="7">
        <f>SUM(AQ20,AQ22,AQ23)</f>
        <v>13158160.000000002</v>
      </c>
      <c r="AR24" s="7">
        <f>SUM(AR20,AR22,AR23)</f>
        <v>13703976.000000002</v>
      </c>
    </row>
    <row r="25" spans="1:44" ht="15.75" customHeight="1">
      <c r="A25" s="4" t="s">
        <v>270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>
        <f>AO27</f>
        <v>29781600</v>
      </c>
      <c r="AR25" s="7"/>
    </row>
    <row r="26" spans="1:44" ht="15.75" customHeight="1">
      <c r="A26" s="5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15.75" customHeight="1">
      <c r="A27" s="5" t="s">
        <v>271</v>
      </c>
      <c r="F27" s="7">
        <f>F24-F25</f>
        <v>970000</v>
      </c>
      <c r="G27" s="7">
        <f t="shared" ref="G27:AN27" si="7">F27+G24-G25</f>
        <v>1450000</v>
      </c>
      <c r="H27" s="7">
        <f t="shared" si="7"/>
        <v>1930000</v>
      </c>
      <c r="I27" s="7">
        <f t="shared" si="7"/>
        <v>2610000</v>
      </c>
      <c r="J27" s="7">
        <f t="shared" si="7"/>
        <v>3090000</v>
      </c>
      <c r="K27" s="7">
        <f t="shared" si="7"/>
        <v>3570000</v>
      </c>
      <c r="L27" s="7">
        <f t="shared" si="7"/>
        <v>4050000</v>
      </c>
      <c r="M27" s="7">
        <f t="shared" si="7"/>
        <v>5040000</v>
      </c>
      <c r="N27" s="7">
        <f t="shared" si="7"/>
        <v>5820000</v>
      </c>
      <c r="O27" s="7">
        <f t="shared" si="7"/>
        <v>6600000</v>
      </c>
      <c r="P27" s="7">
        <f t="shared" si="7"/>
        <v>7380000</v>
      </c>
      <c r="Q27" s="7">
        <f t="shared" si="7"/>
        <v>8160000</v>
      </c>
      <c r="R27" s="7">
        <f t="shared" si="7"/>
        <v>9018000</v>
      </c>
      <c r="S27" s="7">
        <f t="shared" si="7"/>
        <v>9876000</v>
      </c>
      <c r="T27" s="7">
        <f t="shared" si="7"/>
        <v>10734000</v>
      </c>
      <c r="U27" s="7">
        <f t="shared" si="7"/>
        <v>11592000</v>
      </c>
      <c r="V27" s="7">
        <f t="shared" si="7"/>
        <v>12450000</v>
      </c>
      <c r="W27" s="7">
        <f t="shared" si="7"/>
        <v>13308000</v>
      </c>
      <c r="X27" s="7">
        <f t="shared" si="7"/>
        <v>14166000</v>
      </c>
      <c r="Y27" s="7">
        <f t="shared" si="7"/>
        <v>15024000</v>
      </c>
      <c r="Z27" s="7">
        <f t="shared" si="7"/>
        <v>15882000</v>
      </c>
      <c r="AA27" s="7">
        <f t="shared" si="7"/>
        <v>16740000</v>
      </c>
      <c r="AB27" s="7">
        <f t="shared" si="7"/>
        <v>17598000</v>
      </c>
      <c r="AC27" s="7">
        <f t="shared" si="7"/>
        <v>18456000</v>
      </c>
      <c r="AD27" s="7">
        <f t="shared" si="7"/>
        <v>19399800</v>
      </c>
      <c r="AE27" s="7">
        <f t="shared" si="7"/>
        <v>20343600</v>
      </c>
      <c r="AF27" s="7">
        <f t="shared" si="7"/>
        <v>21287400</v>
      </c>
      <c r="AG27" s="7">
        <f t="shared" si="7"/>
        <v>22231200</v>
      </c>
      <c r="AH27" s="7">
        <f t="shared" si="7"/>
        <v>23175000</v>
      </c>
      <c r="AI27" s="7">
        <f t="shared" si="7"/>
        <v>24118800</v>
      </c>
      <c r="AJ27" s="7">
        <f t="shared" si="7"/>
        <v>25062600</v>
      </c>
      <c r="AK27" s="7">
        <f t="shared" si="7"/>
        <v>26006400</v>
      </c>
      <c r="AL27" s="7">
        <f t="shared" si="7"/>
        <v>26950200</v>
      </c>
      <c r="AM27" s="7">
        <f t="shared" si="7"/>
        <v>27894000</v>
      </c>
      <c r="AN27" s="7">
        <f t="shared" si="7"/>
        <v>28837800</v>
      </c>
      <c r="AO27" s="7">
        <f>AN27+AO24-AO25</f>
        <v>29781600</v>
      </c>
      <c r="AP27" s="7"/>
      <c r="AQ27" s="7">
        <f>AO27+AQ24-AQ25</f>
        <v>13158160</v>
      </c>
      <c r="AR27" s="7">
        <f>AQ27+AR24-AR25</f>
        <v>26862136</v>
      </c>
    </row>
    <row r="28" spans="1:44" ht="15.75" customHeight="1"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ht="15.75" customHeight="1">
      <c r="A29" s="5" t="s">
        <v>26</v>
      </c>
      <c r="F29" s="7">
        <f t="shared" ref="F29:AN29" si="8">F27/3/12</f>
        <v>26944.444444444442</v>
      </c>
      <c r="G29" s="7">
        <f t="shared" si="8"/>
        <v>40277.777777777774</v>
      </c>
      <c r="H29" s="7">
        <f t="shared" si="8"/>
        <v>53611.111111111117</v>
      </c>
      <c r="I29" s="7">
        <f t="shared" si="8"/>
        <v>72500</v>
      </c>
      <c r="J29" s="7">
        <f t="shared" si="8"/>
        <v>85833.333333333328</v>
      </c>
      <c r="K29" s="7">
        <f t="shared" si="8"/>
        <v>99166.666666666672</v>
      </c>
      <c r="L29" s="7">
        <f t="shared" si="8"/>
        <v>112500</v>
      </c>
      <c r="M29" s="7">
        <f t="shared" si="8"/>
        <v>140000</v>
      </c>
      <c r="N29" s="7">
        <f t="shared" si="8"/>
        <v>161666.66666666666</v>
      </c>
      <c r="O29" s="7">
        <f t="shared" si="8"/>
        <v>183333.33333333334</v>
      </c>
      <c r="P29" s="7">
        <f t="shared" si="8"/>
        <v>205000</v>
      </c>
      <c r="Q29" s="7">
        <f t="shared" si="8"/>
        <v>226666.66666666666</v>
      </c>
      <c r="R29" s="7">
        <f t="shared" si="8"/>
        <v>250500</v>
      </c>
      <c r="S29" s="7">
        <f t="shared" si="8"/>
        <v>274333.33333333331</v>
      </c>
      <c r="T29" s="7">
        <f t="shared" si="8"/>
        <v>298166.66666666669</v>
      </c>
      <c r="U29" s="7">
        <f t="shared" si="8"/>
        <v>322000</v>
      </c>
      <c r="V29" s="7">
        <f t="shared" si="8"/>
        <v>345833.33333333331</v>
      </c>
      <c r="W29" s="7">
        <f t="shared" si="8"/>
        <v>369666.66666666669</v>
      </c>
      <c r="X29" s="7">
        <f t="shared" si="8"/>
        <v>393500</v>
      </c>
      <c r="Y29" s="7">
        <f t="shared" si="8"/>
        <v>417333.33333333331</v>
      </c>
      <c r="Z29" s="7">
        <f t="shared" si="8"/>
        <v>441166.66666666669</v>
      </c>
      <c r="AA29" s="7">
        <f t="shared" si="8"/>
        <v>465000</v>
      </c>
      <c r="AB29" s="7">
        <f t="shared" si="8"/>
        <v>488833.33333333331</v>
      </c>
      <c r="AC29" s="7">
        <f t="shared" si="8"/>
        <v>512666.66666666669</v>
      </c>
      <c r="AD29" s="7">
        <f t="shared" si="8"/>
        <v>538883.33333333337</v>
      </c>
      <c r="AE29" s="7">
        <f t="shared" si="8"/>
        <v>565100</v>
      </c>
      <c r="AF29" s="7">
        <f t="shared" si="8"/>
        <v>591316.66666666663</v>
      </c>
      <c r="AG29" s="7">
        <f t="shared" si="8"/>
        <v>617533.33333333337</v>
      </c>
      <c r="AH29" s="7">
        <f t="shared" si="8"/>
        <v>643750</v>
      </c>
      <c r="AI29" s="7">
        <f t="shared" si="8"/>
        <v>669966.66666666663</v>
      </c>
      <c r="AJ29" s="7">
        <f t="shared" si="8"/>
        <v>696183.33333333337</v>
      </c>
      <c r="AK29" s="7">
        <f t="shared" si="8"/>
        <v>722400</v>
      </c>
      <c r="AL29" s="7">
        <f t="shared" si="8"/>
        <v>748616.66666666663</v>
      </c>
      <c r="AM29" s="7">
        <f t="shared" si="8"/>
        <v>774833.33333333337</v>
      </c>
      <c r="AN29" s="7">
        <f t="shared" si="8"/>
        <v>801050</v>
      </c>
      <c r="AO29" s="7">
        <f>AO27/3/12</f>
        <v>827266.66666666663</v>
      </c>
      <c r="AP29" s="7"/>
      <c r="AQ29" s="7">
        <f t="shared" ref="AQ29:AR29" si="9">AQ27/3</f>
        <v>4386053.333333333</v>
      </c>
      <c r="AR29" s="7">
        <f t="shared" si="9"/>
        <v>8954045.333333334</v>
      </c>
    </row>
    <row r="30" spans="1:44" ht="15.75" customHeight="1">
      <c r="A30" s="5" t="s">
        <v>272</v>
      </c>
      <c r="F30" s="7">
        <f>F29</f>
        <v>26944.444444444442</v>
      </c>
      <c r="G30" s="7">
        <f t="shared" ref="G30:AO30" si="10">F30+G29</f>
        <v>67222.222222222219</v>
      </c>
      <c r="H30" s="7">
        <f t="shared" si="10"/>
        <v>120833.33333333334</v>
      </c>
      <c r="I30" s="7">
        <f t="shared" si="10"/>
        <v>193333.33333333334</v>
      </c>
      <c r="J30" s="7">
        <f t="shared" si="10"/>
        <v>279166.66666666669</v>
      </c>
      <c r="K30" s="7">
        <f t="shared" si="10"/>
        <v>378333.33333333337</v>
      </c>
      <c r="L30" s="7">
        <f t="shared" si="10"/>
        <v>490833.33333333337</v>
      </c>
      <c r="M30" s="7">
        <f t="shared" si="10"/>
        <v>630833.33333333337</v>
      </c>
      <c r="N30" s="7">
        <f t="shared" si="10"/>
        <v>792500</v>
      </c>
      <c r="O30" s="7">
        <f t="shared" si="10"/>
        <v>975833.33333333337</v>
      </c>
      <c r="P30" s="7">
        <f t="shared" si="10"/>
        <v>1180833.3333333335</v>
      </c>
      <c r="Q30" s="7">
        <f t="shared" si="10"/>
        <v>1407500.0000000002</v>
      </c>
      <c r="R30" s="7">
        <f t="shared" si="10"/>
        <v>1658000.0000000002</v>
      </c>
      <c r="S30" s="7">
        <f t="shared" si="10"/>
        <v>1932333.3333333335</v>
      </c>
      <c r="T30" s="7">
        <f t="shared" si="10"/>
        <v>2230500</v>
      </c>
      <c r="U30" s="7">
        <f t="shared" si="10"/>
        <v>2552500</v>
      </c>
      <c r="V30" s="7">
        <f t="shared" si="10"/>
        <v>2898333.3333333335</v>
      </c>
      <c r="W30" s="7">
        <f t="shared" si="10"/>
        <v>3268000</v>
      </c>
      <c r="X30" s="7">
        <f t="shared" si="10"/>
        <v>3661500</v>
      </c>
      <c r="Y30" s="7">
        <f t="shared" si="10"/>
        <v>4078833.3333333335</v>
      </c>
      <c r="Z30" s="7">
        <f t="shared" si="10"/>
        <v>4520000</v>
      </c>
      <c r="AA30" s="7">
        <f t="shared" si="10"/>
        <v>4985000</v>
      </c>
      <c r="AB30" s="7">
        <f t="shared" si="10"/>
        <v>5473833.333333333</v>
      </c>
      <c r="AC30" s="7">
        <f t="shared" si="10"/>
        <v>5986500</v>
      </c>
      <c r="AD30" s="7">
        <f t="shared" si="10"/>
        <v>6525383.333333333</v>
      </c>
      <c r="AE30" s="7">
        <f t="shared" si="10"/>
        <v>7090483.333333333</v>
      </c>
      <c r="AF30" s="7">
        <f t="shared" si="10"/>
        <v>7681800</v>
      </c>
      <c r="AG30" s="7">
        <f t="shared" si="10"/>
        <v>8299333.333333333</v>
      </c>
      <c r="AH30" s="7">
        <f t="shared" si="10"/>
        <v>8943083.3333333321</v>
      </c>
      <c r="AI30" s="7">
        <f t="shared" si="10"/>
        <v>9613049.9999999981</v>
      </c>
      <c r="AJ30" s="7">
        <f t="shared" si="10"/>
        <v>10309233.333333332</v>
      </c>
      <c r="AK30" s="7">
        <f t="shared" si="10"/>
        <v>11031633.333333332</v>
      </c>
      <c r="AL30" s="7">
        <f t="shared" si="10"/>
        <v>11780249.999999998</v>
      </c>
      <c r="AM30" s="7">
        <f t="shared" si="10"/>
        <v>12555083.333333332</v>
      </c>
      <c r="AN30" s="7">
        <f t="shared" si="10"/>
        <v>13356133.333333332</v>
      </c>
      <c r="AO30" s="7">
        <f t="shared" si="10"/>
        <v>14183399.999999998</v>
      </c>
      <c r="AP30" s="7"/>
      <c r="AQ30" s="7">
        <f>AQ29</f>
        <v>4386053.333333333</v>
      </c>
      <c r="AR30" s="7">
        <f>SUM(AQ30,AR29)</f>
        <v>13340098.666666668</v>
      </c>
    </row>
    <row r="31" spans="1:44" ht="15.75" customHeight="1"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 ht="15.75" customHeight="1">
      <c r="A32" s="5" t="s">
        <v>273</v>
      </c>
      <c r="F32" s="7">
        <f t="shared" ref="F32:AO32" si="11">F27-F30</f>
        <v>943055.5555555555</v>
      </c>
      <c r="G32" s="7">
        <f t="shared" si="11"/>
        <v>1382777.7777777778</v>
      </c>
      <c r="H32" s="7">
        <f t="shared" si="11"/>
        <v>1809166.6666666667</v>
      </c>
      <c r="I32" s="7">
        <f t="shared" si="11"/>
        <v>2416666.6666666665</v>
      </c>
      <c r="J32" s="7">
        <f t="shared" si="11"/>
        <v>2810833.3333333335</v>
      </c>
      <c r="K32" s="7">
        <f t="shared" si="11"/>
        <v>3191666.6666666665</v>
      </c>
      <c r="L32" s="7">
        <f t="shared" si="11"/>
        <v>3559166.6666666665</v>
      </c>
      <c r="M32" s="7">
        <f t="shared" si="11"/>
        <v>4409166.666666667</v>
      </c>
      <c r="N32" s="7">
        <f t="shared" si="11"/>
        <v>5027500</v>
      </c>
      <c r="O32" s="7">
        <f t="shared" si="11"/>
        <v>5624166.666666667</v>
      </c>
      <c r="P32" s="7">
        <f t="shared" si="11"/>
        <v>6199166.666666666</v>
      </c>
      <c r="Q32" s="7">
        <f t="shared" si="11"/>
        <v>6752500</v>
      </c>
      <c r="R32" s="7">
        <f t="shared" si="11"/>
        <v>7360000</v>
      </c>
      <c r="S32" s="7">
        <f t="shared" si="11"/>
        <v>7943666.666666666</v>
      </c>
      <c r="T32" s="7">
        <f t="shared" si="11"/>
        <v>8503500</v>
      </c>
      <c r="U32" s="7">
        <f t="shared" si="11"/>
        <v>9039500</v>
      </c>
      <c r="V32" s="7">
        <f t="shared" si="11"/>
        <v>9551666.666666666</v>
      </c>
      <c r="W32" s="7">
        <f t="shared" si="11"/>
        <v>10040000</v>
      </c>
      <c r="X32" s="7">
        <f t="shared" si="11"/>
        <v>10504500</v>
      </c>
      <c r="Y32" s="7">
        <f t="shared" si="11"/>
        <v>10945166.666666666</v>
      </c>
      <c r="Z32" s="7">
        <f t="shared" si="11"/>
        <v>11362000</v>
      </c>
      <c r="AA32" s="7">
        <f t="shared" si="11"/>
        <v>11755000</v>
      </c>
      <c r="AB32" s="7">
        <f t="shared" si="11"/>
        <v>12124166.666666668</v>
      </c>
      <c r="AC32" s="7">
        <f t="shared" si="11"/>
        <v>12469500</v>
      </c>
      <c r="AD32" s="7">
        <f t="shared" si="11"/>
        <v>12874416.666666668</v>
      </c>
      <c r="AE32" s="7">
        <f t="shared" si="11"/>
        <v>13253116.666666668</v>
      </c>
      <c r="AF32" s="7">
        <f t="shared" si="11"/>
        <v>13605600</v>
      </c>
      <c r="AG32" s="7">
        <f t="shared" si="11"/>
        <v>13931866.666666668</v>
      </c>
      <c r="AH32" s="7">
        <f t="shared" si="11"/>
        <v>14231916.666666668</v>
      </c>
      <c r="AI32" s="7">
        <f t="shared" si="11"/>
        <v>14505750.000000002</v>
      </c>
      <c r="AJ32" s="7">
        <f t="shared" si="11"/>
        <v>14753366.666666668</v>
      </c>
      <c r="AK32" s="7">
        <f t="shared" si="11"/>
        <v>14974766.666666668</v>
      </c>
      <c r="AL32" s="7">
        <f t="shared" si="11"/>
        <v>15169950.000000002</v>
      </c>
      <c r="AM32" s="7">
        <f t="shared" si="11"/>
        <v>15338916.666666668</v>
      </c>
      <c r="AN32" s="7">
        <f t="shared" si="11"/>
        <v>15481666.666666668</v>
      </c>
      <c r="AO32" s="7">
        <f t="shared" si="11"/>
        <v>15598200.000000002</v>
      </c>
      <c r="AP32" s="7"/>
      <c r="AQ32" s="7">
        <f t="shared" ref="AQ32:AR32" si="12">AQ27-AQ30</f>
        <v>8772106.6666666679</v>
      </c>
      <c r="AR32" s="7">
        <f t="shared" si="12"/>
        <v>13522037.333333332</v>
      </c>
    </row>
    <row r="33" spans="41:41" ht="15.75" customHeight="1">
      <c r="AO33" s="43"/>
    </row>
    <row r="34" spans="41:41" ht="15.75" customHeight="1"/>
    <row r="35" spans="41:41" ht="15.75" customHeight="1"/>
    <row r="36" spans="41:41" ht="15.75" customHeight="1"/>
    <row r="37" spans="41:41" ht="15.75" customHeight="1"/>
    <row r="38" spans="41:41" ht="15.75" customHeight="1"/>
    <row r="39" spans="41:41" ht="15.75" customHeight="1"/>
    <row r="40" spans="41:41" ht="15.75" customHeight="1"/>
    <row r="41" spans="41:41" ht="15.75" customHeight="1"/>
    <row r="42" spans="41:41" ht="15.75" customHeight="1"/>
    <row r="43" spans="41:41" ht="15.75" customHeight="1"/>
    <row r="44" spans="41:41" ht="15.75" customHeight="1"/>
    <row r="45" spans="41:41" ht="15.75" customHeight="1"/>
    <row r="46" spans="41:41" ht="15.75" customHeight="1"/>
    <row r="47" spans="41:41" ht="15.75" customHeight="1"/>
    <row r="48" spans="41:4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1000"/>
  <sheetViews>
    <sheetView showGridLines="0" workbookViewId="0">
      <pane xSplit="6" topLeftCell="G1" activePane="topRight" state="frozen"/>
      <selection pane="topRight" activeCell="I23" sqref="I23"/>
    </sheetView>
  </sheetViews>
  <sheetFormatPr defaultColWidth="14.42578125" defaultRowHeight="15" customHeight="1"/>
  <cols>
    <col min="1" max="1" width="17.42578125" customWidth="1"/>
    <col min="2" max="2" width="10.5703125" customWidth="1"/>
    <col min="3" max="3" width="5.85546875" customWidth="1"/>
    <col min="4" max="4" width="8.42578125" customWidth="1"/>
    <col min="5" max="5" width="7.42578125" customWidth="1"/>
    <col min="6" max="6" width="4.5703125" customWidth="1"/>
    <col min="7" max="7" width="3.42578125" customWidth="1"/>
    <col min="8" max="44" width="10.5703125" customWidth="1"/>
    <col min="45" max="46" width="11.5703125" customWidth="1"/>
  </cols>
  <sheetData>
    <row r="1" spans="1:46" ht="21">
      <c r="A1" s="1" t="s">
        <v>0</v>
      </c>
    </row>
    <row r="2" spans="1:46" ht="18.600000000000001">
      <c r="A2" s="2" t="s">
        <v>274</v>
      </c>
    </row>
    <row r="7" spans="1:46" ht="15.6">
      <c r="A7" s="11" t="s">
        <v>3</v>
      </c>
      <c r="B7" s="11" t="s">
        <v>116</v>
      </c>
      <c r="E7" s="11" t="s">
        <v>275</v>
      </c>
      <c r="H7" s="101" t="s">
        <v>73</v>
      </c>
      <c r="I7" s="101" t="s">
        <v>74</v>
      </c>
      <c r="J7" s="101" t="s">
        <v>75</v>
      </c>
      <c r="K7" s="101" t="s">
        <v>76</v>
      </c>
      <c r="L7" s="101" t="s">
        <v>77</v>
      </c>
      <c r="M7" s="101" t="s">
        <v>78</v>
      </c>
      <c r="N7" s="101" t="s">
        <v>79</v>
      </c>
      <c r="O7" s="101" t="s">
        <v>80</v>
      </c>
      <c r="P7" s="101" t="s">
        <v>81</v>
      </c>
      <c r="Q7" s="101" t="s">
        <v>82</v>
      </c>
      <c r="R7" s="101" t="s">
        <v>83</v>
      </c>
      <c r="S7" s="101" t="s">
        <v>84</v>
      </c>
      <c r="T7" s="101" t="s">
        <v>237</v>
      </c>
      <c r="U7" s="101" t="s">
        <v>238</v>
      </c>
      <c r="V7" s="101" t="s">
        <v>239</v>
      </c>
      <c r="W7" s="101" t="s">
        <v>240</v>
      </c>
      <c r="X7" s="101" t="s">
        <v>241</v>
      </c>
      <c r="Y7" s="101" t="s">
        <v>242</v>
      </c>
      <c r="Z7" s="101" t="s">
        <v>243</v>
      </c>
      <c r="AA7" s="101" t="s">
        <v>244</v>
      </c>
      <c r="AB7" s="101" t="s">
        <v>245</v>
      </c>
      <c r="AC7" s="101" t="s">
        <v>246</v>
      </c>
      <c r="AD7" s="101" t="s">
        <v>247</v>
      </c>
      <c r="AE7" s="101" t="s">
        <v>248</v>
      </c>
      <c r="AF7" s="101" t="s">
        <v>249</v>
      </c>
      <c r="AG7" s="101" t="s">
        <v>250</v>
      </c>
      <c r="AH7" s="101" t="s">
        <v>251</v>
      </c>
      <c r="AI7" s="101" t="s">
        <v>252</v>
      </c>
      <c r="AJ7" s="101" t="s">
        <v>253</v>
      </c>
      <c r="AK7" s="101" t="s">
        <v>254</v>
      </c>
      <c r="AL7" s="101" t="s">
        <v>255</v>
      </c>
      <c r="AM7" s="101" t="s">
        <v>256</v>
      </c>
      <c r="AN7" s="101" t="s">
        <v>257</v>
      </c>
      <c r="AO7" s="101" t="s">
        <v>258</v>
      </c>
      <c r="AP7" s="101" t="s">
        <v>259</v>
      </c>
      <c r="AQ7" s="101" t="s">
        <v>260</v>
      </c>
      <c r="AR7" s="6"/>
      <c r="AS7" s="102" t="s">
        <v>7</v>
      </c>
      <c r="AT7" s="102" t="s">
        <v>8</v>
      </c>
    </row>
    <row r="9" spans="1:46" ht="14.45">
      <c r="A9" s="62" t="s">
        <v>276</v>
      </c>
      <c r="B9" s="62" t="s">
        <v>277</v>
      </c>
      <c r="C9" s="62"/>
      <c r="H9" s="73">
        <f>'Revenue Buildup'!E32</f>
        <v>1500000</v>
      </c>
      <c r="I9" s="73">
        <f>'Revenue Buildup'!F32</f>
        <v>1549000</v>
      </c>
      <c r="J9" s="73">
        <f>'Revenue Buildup'!G32</f>
        <v>1584000</v>
      </c>
      <c r="K9" s="73">
        <f>'Revenue Buildup'!H32</f>
        <v>1822500</v>
      </c>
      <c r="L9" s="73">
        <f>'Revenue Buildup'!I32</f>
        <v>3364500</v>
      </c>
      <c r="M9" s="73">
        <f>'Revenue Buildup'!J32</f>
        <v>1910000</v>
      </c>
      <c r="N9" s="73">
        <f>'Revenue Buildup'!K32</f>
        <v>3666000</v>
      </c>
      <c r="O9" s="73">
        <f>'Revenue Buildup'!L32</f>
        <v>3737000</v>
      </c>
      <c r="P9" s="73">
        <f>'Revenue Buildup'!M32</f>
        <v>2308600</v>
      </c>
      <c r="Q9" s="73">
        <f>'Revenue Buildup'!N32</f>
        <v>4098020</v>
      </c>
      <c r="R9" s="73">
        <f>'Revenue Buildup'!O32</f>
        <v>4194824</v>
      </c>
      <c r="S9" s="73">
        <f>'Revenue Buildup'!P32</f>
        <v>4299088.8</v>
      </c>
      <c r="T9" s="73">
        <f>'Revenue Buildup'!Q32</f>
        <v>4506501.8880000003</v>
      </c>
      <c r="U9" s="73">
        <f>'Revenue Buildup'!R32</f>
        <v>6236357.2655999996</v>
      </c>
      <c r="V9" s="73">
        <f>'Revenue Buildup'!S32</f>
        <v>3256748.7187199998</v>
      </c>
      <c r="W9" s="73">
        <f>'Revenue Buildup'!T32</f>
        <v>5246218.4624640001</v>
      </c>
      <c r="X9" s="73">
        <f>'Revenue Buildup'!U32</f>
        <v>5477617.1549567999</v>
      </c>
      <c r="Y9" s="73">
        <f>'Revenue Buildup'!V32</f>
        <v>5732510.5859481599</v>
      </c>
      <c r="Z9" s="73">
        <f>'Revenue Buildup'!W32</f>
        <v>6246912.7031377917</v>
      </c>
      <c r="AA9" s="73">
        <f>'Revenue Buildup'!X32</f>
        <v>6597495.2437653504</v>
      </c>
      <c r="AB9" s="73">
        <f>'Revenue Buildup'!Y32</f>
        <v>8558649.2925184201</v>
      </c>
      <c r="AC9" s="73">
        <f>'Revenue Buildup'!Z32</f>
        <v>9444974.1510221045</v>
      </c>
      <c r="AD9" s="73">
        <f>'Revenue Buildup'!AA32</f>
        <v>8395018.9812265262</v>
      </c>
      <c r="AE9" s="73">
        <f>'Revenue Buildup'!AB32</f>
        <v>10550827.777471831</v>
      </c>
      <c r="AF9" s="73">
        <f>'Revenue Buildup'!AC32</f>
        <v>11366762.749614507</v>
      </c>
      <c r="AG9" s="73">
        <f>'Revenue Buildup'!AD32</f>
        <v>10543192.799537407</v>
      </c>
      <c r="AH9" s="73">
        <f>'Revenue Buildup'!AE32</f>
        <v>13131418.85944489</v>
      </c>
      <c r="AI9" s="73">
        <f>'Revenue Buildup'!AF32</f>
        <v>14632050.131333867</v>
      </c>
      <c r="AJ9" s="73">
        <f>'Revenue Buildup'!AG32</f>
        <v>14234422.657600641</v>
      </c>
      <c r="AK9" s="73">
        <f>'Revenue Buildup'!AH32</f>
        <v>17339181.93912077</v>
      </c>
      <c r="AL9" s="73">
        <f>'Revenue Buildup'!AI32</f>
        <v>19200565.576944921</v>
      </c>
      <c r="AM9" s="73">
        <f>'Revenue Buildup'!AJ32</f>
        <v>21092450.942333907</v>
      </c>
      <c r="AN9" s="73">
        <f>'Revenue Buildup'!AK32</f>
        <v>21600918.380800687</v>
      </c>
      <c r="AO9" s="73">
        <f>'Revenue Buildup'!AL32</f>
        <v>26318112.306960825</v>
      </c>
      <c r="AP9" s="73">
        <f>'Revenue Buildup'!AM32</f>
        <v>29182584.518352993</v>
      </c>
      <c r="AQ9" s="73">
        <f>'Revenue Buildup'!AN32</f>
        <v>28298151.172023591</v>
      </c>
      <c r="AS9" s="73">
        <f>'Revenue Buildup'!AS32</f>
        <v>191126635.91971558</v>
      </c>
      <c r="AT9" s="73">
        <f>'Revenue Buildup'!AT32</f>
        <v>459738762.58368921</v>
      </c>
    </row>
    <row r="10" spans="1:46" ht="14.45">
      <c r="A10" s="62" t="s">
        <v>142</v>
      </c>
      <c r="B10" s="62" t="s">
        <v>277</v>
      </c>
      <c r="H10" s="73">
        <f>'COGS Buildup'!K28</f>
        <v>863410</v>
      </c>
      <c r="I10" s="73">
        <f>'COGS Buildup'!L28</f>
        <v>883010</v>
      </c>
      <c r="J10" s="73">
        <f>'COGS Buildup'!M28</f>
        <v>897010</v>
      </c>
      <c r="K10" s="73">
        <f>'COGS Buildup'!N28</f>
        <v>1767375</v>
      </c>
      <c r="L10" s="73">
        <f>'COGS Buildup'!O28</f>
        <v>1934175</v>
      </c>
      <c r="M10" s="73">
        <f>'COGS Buildup'!P28</f>
        <v>2297943.3333333335</v>
      </c>
      <c r="N10" s="73">
        <f>'COGS Buildup'!Q28</f>
        <v>2475633.333333333</v>
      </c>
      <c r="O10" s="73">
        <f>'COGS Buildup'!R28</f>
        <v>3018271.666666667</v>
      </c>
      <c r="P10" s="73">
        <f>'COGS Buildup'!S28</f>
        <v>2897471.666666667</v>
      </c>
      <c r="Q10" s="73">
        <f>'COGS Buildup'!T28</f>
        <v>3083911.666666667</v>
      </c>
      <c r="R10" s="73">
        <f>'COGS Buildup'!U28</f>
        <v>3123439.666666667</v>
      </c>
      <c r="S10" s="73">
        <f>'COGS Buildup'!V28</f>
        <v>3166113.2666666666</v>
      </c>
      <c r="T10" s="73">
        <f>'COGS Buildup'!W28</f>
        <v>2419278.8159999996</v>
      </c>
      <c r="U10" s="73">
        <f>'COGS Buildup'!X28</f>
        <v>2640184.0992000001</v>
      </c>
      <c r="V10" s="73">
        <f>'COGS Buildup'!Y28</f>
        <v>2753556.4390400001</v>
      </c>
      <c r="W10" s="73">
        <f>'COGS Buildup'!Z28</f>
        <v>2636491.2468480002</v>
      </c>
      <c r="X10" s="73">
        <f>'COGS Buildup'!AA28</f>
        <v>2731579.0162175996</v>
      </c>
      <c r="Y10" s="73">
        <f>'COGS Buildup'!AB28</f>
        <v>2615930.3394611198</v>
      </c>
      <c r="Z10" s="73">
        <f>'COGS Buildup'!AC28</f>
        <v>2961971.9273533439</v>
      </c>
      <c r="AA10" s="73">
        <f>'COGS Buildup'!AD28</f>
        <v>3106573.8328240127</v>
      </c>
      <c r="AB10" s="73">
        <f>'COGS Buildup'!AE28</f>
        <v>3423778.119388815</v>
      </c>
      <c r="AC10" s="73">
        <f>'COGS Buildup'!AF28</f>
        <v>3975059.2632665783</v>
      </c>
      <c r="AD10" s="73">
        <f>'COGS Buildup'!AG28</f>
        <v>4255766.6359198941</v>
      </c>
      <c r="AE10" s="73">
        <f>'COGS Buildup'!AH28</f>
        <v>4654649.4831038732</v>
      </c>
      <c r="AF10" s="73">
        <f>'COGS Buildup'!AI28</f>
        <v>4963394.7927108798</v>
      </c>
      <c r="AG10" s="73">
        <f>'COGS Buildup'!AJ28</f>
        <v>5143789.5176530555</v>
      </c>
      <c r="AH10" s="73">
        <f>'COGS Buildup'!AK28</f>
        <v>5699392.1875836663</v>
      </c>
      <c r="AI10" s="73">
        <f>'COGS Buildup'!AL28</f>
        <v>6142969.3915004004</v>
      </c>
      <c r="AJ10" s="73">
        <f>'COGS Buildup'!AM28</f>
        <v>6503713.0362004805</v>
      </c>
      <c r="AK10" s="73">
        <f>'COGS Buildup'!AN28</f>
        <v>7277895.3098405767</v>
      </c>
      <c r="AL10" s="73">
        <f>'COGS Buildup'!AO28</f>
        <v>7968333.0382086914</v>
      </c>
      <c r="AM10" s="73">
        <f>'COGS Buildup'!AP28</f>
        <v>8765988.3122504316</v>
      </c>
      <c r="AN10" s="73">
        <f>'COGS Buildup'!AQ28</f>
        <v>9884690.6411005165</v>
      </c>
      <c r="AO10" s="73">
        <f>'COGS Buildup'!AR28</f>
        <v>10787831.835720619</v>
      </c>
      <c r="AP10" s="73">
        <f>'COGS Buildup'!AS28</f>
        <v>12004297.869264742</v>
      </c>
      <c r="AQ10" s="73">
        <f>'COGS Buildup'!AT28</f>
        <v>11735337.109517692</v>
      </c>
      <c r="AS10" s="73">
        <f>'COGS Buildup'!AV28</f>
        <v>99838301.918156683</v>
      </c>
      <c r="AT10" s="73">
        <f>'COGS Buildup'!AW28</f>
        <v>215855155.2560291</v>
      </c>
    </row>
    <row r="12" spans="1:46" ht="14.45">
      <c r="D12" s="44" t="s">
        <v>278</v>
      </c>
      <c r="E12" s="45">
        <v>30</v>
      </c>
      <c r="H12" s="74">
        <f t="shared" ref="H12:AQ12" si="0">H9*$E$12/30</f>
        <v>1500000</v>
      </c>
      <c r="I12" s="74">
        <f t="shared" si="0"/>
        <v>1549000</v>
      </c>
      <c r="J12" s="74">
        <f t="shared" si="0"/>
        <v>1584000</v>
      </c>
      <c r="K12" s="74">
        <f t="shared" si="0"/>
        <v>1822500</v>
      </c>
      <c r="L12" s="74">
        <f t="shared" si="0"/>
        <v>3364500</v>
      </c>
      <c r="M12" s="74">
        <f t="shared" si="0"/>
        <v>1910000</v>
      </c>
      <c r="N12" s="74">
        <f t="shared" si="0"/>
        <v>3666000</v>
      </c>
      <c r="O12" s="74">
        <f t="shared" si="0"/>
        <v>3737000</v>
      </c>
      <c r="P12" s="74">
        <f t="shared" si="0"/>
        <v>2308600</v>
      </c>
      <c r="Q12" s="74">
        <f t="shared" si="0"/>
        <v>4098020</v>
      </c>
      <c r="R12" s="74">
        <f t="shared" si="0"/>
        <v>4194824</v>
      </c>
      <c r="S12" s="74">
        <f t="shared" si="0"/>
        <v>4299088.8</v>
      </c>
      <c r="T12" s="74">
        <f t="shared" si="0"/>
        <v>4506501.8880000003</v>
      </c>
      <c r="U12" s="74">
        <f t="shared" si="0"/>
        <v>6236357.2655999996</v>
      </c>
      <c r="V12" s="74">
        <f t="shared" si="0"/>
        <v>3256748.7187199998</v>
      </c>
      <c r="W12" s="74">
        <f t="shared" si="0"/>
        <v>5246218.4624640001</v>
      </c>
      <c r="X12" s="74">
        <f t="shared" si="0"/>
        <v>5477617.1549567999</v>
      </c>
      <c r="Y12" s="74">
        <f t="shared" si="0"/>
        <v>5732510.5859481599</v>
      </c>
      <c r="Z12" s="74">
        <f t="shared" si="0"/>
        <v>6246912.7031377917</v>
      </c>
      <c r="AA12" s="74">
        <f t="shared" si="0"/>
        <v>6597495.2437653504</v>
      </c>
      <c r="AB12" s="74">
        <f t="shared" si="0"/>
        <v>8558649.2925184201</v>
      </c>
      <c r="AC12" s="74">
        <f t="shared" si="0"/>
        <v>9444974.1510221045</v>
      </c>
      <c r="AD12" s="74">
        <f t="shared" si="0"/>
        <v>8395018.9812265262</v>
      </c>
      <c r="AE12" s="74">
        <f t="shared" si="0"/>
        <v>10550827.777471831</v>
      </c>
      <c r="AF12" s="74">
        <f t="shared" si="0"/>
        <v>11366762.749614507</v>
      </c>
      <c r="AG12" s="74">
        <f t="shared" si="0"/>
        <v>10543192.799537407</v>
      </c>
      <c r="AH12" s="74">
        <f t="shared" si="0"/>
        <v>13131418.85944489</v>
      </c>
      <c r="AI12" s="74">
        <f t="shared" si="0"/>
        <v>14632050.131333867</v>
      </c>
      <c r="AJ12" s="74">
        <f t="shared" si="0"/>
        <v>14234422.657600641</v>
      </c>
      <c r="AK12" s="74">
        <f t="shared" si="0"/>
        <v>17339181.93912077</v>
      </c>
      <c r="AL12" s="74">
        <f t="shared" si="0"/>
        <v>19200565.576944921</v>
      </c>
      <c r="AM12" s="74">
        <f t="shared" si="0"/>
        <v>21092450.942333903</v>
      </c>
      <c r="AN12" s="74">
        <f t="shared" si="0"/>
        <v>21600918.380800687</v>
      </c>
      <c r="AO12" s="74">
        <f t="shared" si="0"/>
        <v>26318112.306960825</v>
      </c>
      <c r="AP12" s="74">
        <f t="shared" si="0"/>
        <v>29182584.518352993</v>
      </c>
      <c r="AQ12" s="74">
        <f t="shared" si="0"/>
        <v>28298151.172023591</v>
      </c>
      <c r="AR12" s="74"/>
      <c r="AS12" s="74">
        <f t="shared" ref="AS12:AT12" si="1">AS9*$E$12/30</f>
        <v>191126635.91971558</v>
      </c>
      <c r="AT12" s="74">
        <f t="shared" si="1"/>
        <v>459738762.58368927</v>
      </c>
    </row>
    <row r="13" spans="1:46" ht="14.45">
      <c r="D13" s="46" t="s">
        <v>279</v>
      </c>
      <c r="E13" s="47">
        <v>30</v>
      </c>
      <c r="H13" s="74">
        <f t="shared" ref="H13:AQ13" si="2">H10*$E$13/30</f>
        <v>863410</v>
      </c>
      <c r="I13" s="74">
        <f t="shared" si="2"/>
        <v>883010</v>
      </c>
      <c r="J13" s="74">
        <f t="shared" si="2"/>
        <v>897010</v>
      </c>
      <c r="K13" s="74">
        <f t="shared" si="2"/>
        <v>1767375</v>
      </c>
      <c r="L13" s="74">
        <f t="shared" si="2"/>
        <v>1934175</v>
      </c>
      <c r="M13" s="74">
        <f t="shared" si="2"/>
        <v>2297943.3333333335</v>
      </c>
      <c r="N13" s="74">
        <f t="shared" si="2"/>
        <v>2475633.333333333</v>
      </c>
      <c r="O13" s="74">
        <f t="shared" si="2"/>
        <v>3018271.666666667</v>
      </c>
      <c r="P13" s="74">
        <f t="shared" si="2"/>
        <v>2897471.666666667</v>
      </c>
      <c r="Q13" s="74">
        <f t="shared" si="2"/>
        <v>3083911.666666667</v>
      </c>
      <c r="R13" s="74">
        <f t="shared" si="2"/>
        <v>3123439.666666667</v>
      </c>
      <c r="S13" s="74">
        <f t="shared" si="2"/>
        <v>3166113.2666666666</v>
      </c>
      <c r="T13" s="74">
        <f t="shared" si="2"/>
        <v>2419278.8159999996</v>
      </c>
      <c r="U13" s="74">
        <f t="shared" si="2"/>
        <v>2640184.0992000001</v>
      </c>
      <c r="V13" s="74">
        <f t="shared" si="2"/>
        <v>2753556.4390400001</v>
      </c>
      <c r="W13" s="74">
        <f t="shared" si="2"/>
        <v>2636491.2468480002</v>
      </c>
      <c r="X13" s="74">
        <f t="shared" si="2"/>
        <v>2731579.0162175996</v>
      </c>
      <c r="Y13" s="74">
        <f t="shared" si="2"/>
        <v>2615930.3394611198</v>
      </c>
      <c r="Z13" s="74">
        <f t="shared" si="2"/>
        <v>2961971.9273533439</v>
      </c>
      <c r="AA13" s="74">
        <f t="shared" si="2"/>
        <v>3106573.8328240127</v>
      </c>
      <c r="AB13" s="74">
        <f t="shared" si="2"/>
        <v>3423778.1193888145</v>
      </c>
      <c r="AC13" s="74">
        <f t="shared" si="2"/>
        <v>3975059.2632665783</v>
      </c>
      <c r="AD13" s="74">
        <f t="shared" si="2"/>
        <v>4255766.6359198941</v>
      </c>
      <c r="AE13" s="74">
        <f t="shared" si="2"/>
        <v>4654649.4831038732</v>
      </c>
      <c r="AF13" s="74">
        <f t="shared" si="2"/>
        <v>4963394.7927108798</v>
      </c>
      <c r="AG13" s="74">
        <f t="shared" si="2"/>
        <v>5143789.5176530564</v>
      </c>
      <c r="AH13" s="74">
        <f t="shared" si="2"/>
        <v>5699392.1875836663</v>
      </c>
      <c r="AI13" s="74">
        <f t="shared" si="2"/>
        <v>6142969.3915004004</v>
      </c>
      <c r="AJ13" s="74">
        <f t="shared" si="2"/>
        <v>6503713.0362004805</v>
      </c>
      <c r="AK13" s="74">
        <f t="shared" si="2"/>
        <v>7277895.3098405767</v>
      </c>
      <c r="AL13" s="74">
        <f t="shared" si="2"/>
        <v>7968333.0382086914</v>
      </c>
      <c r="AM13" s="74">
        <f t="shared" si="2"/>
        <v>8765988.3122504316</v>
      </c>
      <c r="AN13" s="74">
        <f t="shared" si="2"/>
        <v>9884690.6411005165</v>
      </c>
      <c r="AO13" s="74">
        <f t="shared" si="2"/>
        <v>10787831.835720619</v>
      </c>
      <c r="AP13" s="74">
        <f t="shared" si="2"/>
        <v>12004297.869264742</v>
      </c>
      <c r="AQ13" s="74">
        <f t="shared" si="2"/>
        <v>11735337.109517692</v>
      </c>
      <c r="AR13" s="74"/>
      <c r="AS13" s="74">
        <f t="shared" ref="AS13:AT13" si="3">AS10*$E$13/30</f>
        <v>99838301.918156683</v>
      </c>
      <c r="AT13" s="74">
        <f t="shared" si="3"/>
        <v>215855155.2560291</v>
      </c>
    </row>
    <row r="14" spans="1:46" ht="14.45">
      <c r="B14" s="77"/>
    </row>
    <row r="15" spans="1:46" ht="14.45">
      <c r="A15" s="62" t="s">
        <v>280</v>
      </c>
      <c r="B15" s="62"/>
      <c r="H15" s="74">
        <f t="shared" ref="H15:AQ15" si="4">H12-H13</f>
        <v>636590</v>
      </c>
      <c r="I15" s="74">
        <f t="shared" si="4"/>
        <v>665990</v>
      </c>
      <c r="J15" s="74">
        <f t="shared" si="4"/>
        <v>686990</v>
      </c>
      <c r="K15" s="74">
        <f t="shared" si="4"/>
        <v>55125</v>
      </c>
      <c r="L15" s="74">
        <f t="shared" si="4"/>
        <v>1430325</v>
      </c>
      <c r="M15" s="74">
        <f t="shared" si="4"/>
        <v>-387943.33333333349</v>
      </c>
      <c r="N15" s="74">
        <f t="shared" si="4"/>
        <v>1190366.666666667</v>
      </c>
      <c r="O15" s="74">
        <f t="shared" si="4"/>
        <v>718728.33333333302</v>
      </c>
      <c r="P15" s="74">
        <f t="shared" si="4"/>
        <v>-588871.66666666698</v>
      </c>
      <c r="Q15" s="74">
        <f t="shared" si="4"/>
        <v>1014108.333333333</v>
      </c>
      <c r="R15" s="74">
        <f t="shared" si="4"/>
        <v>1071384.333333333</v>
      </c>
      <c r="S15" s="74">
        <f t="shared" si="4"/>
        <v>1132975.5333333332</v>
      </c>
      <c r="T15" s="74">
        <f t="shared" si="4"/>
        <v>2087223.0720000006</v>
      </c>
      <c r="U15" s="74">
        <f t="shared" si="4"/>
        <v>3596173.1663999995</v>
      </c>
      <c r="V15" s="74">
        <f t="shared" si="4"/>
        <v>503192.27967999969</v>
      </c>
      <c r="W15" s="74">
        <f t="shared" si="4"/>
        <v>2609727.2156159999</v>
      </c>
      <c r="X15" s="74">
        <f t="shared" si="4"/>
        <v>2746038.1387392003</v>
      </c>
      <c r="Y15" s="74">
        <f t="shared" si="4"/>
        <v>3116580.2464870401</v>
      </c>
      <c r="Z15" s="74">
        <f t="shared" si="4"/>
        <v>3284940.7757844478</v>
      </c>
      <c r="AA15" s="74">
        <f t="shared" si="4"/>
        <v>3490921.4109413377</v>
      </c>
      <c r="AB15" s="74">
        <f t="shared" si="4"/>
        <v>5134871.1731296051</v>
      </c>
      <c r="AC15" s="74">
        <f t="shared" si="4"/>
        <v>5469914.8877555262</v>
      </c>
      <c r="AD15" s="74">
        <f t="shared" si="4"/>
        <v>4139252.3453066321</v>
      </c>
      <c r="AE15" s="74">
        <f t="shared" si="4"/>
        <v>5896178.2943679579</v>
      </c>
      <c r="AF15" s="74">
        <f t="shared" si="4"/>
        <v>6403367.9569036271</v>
      </c>
      <c r="AG15" s="74">
        <f t="shared" si="4"/>
        <v>5399403.2818843508</v>
      </c>
      <c r="AH15" s="74">
        <f t="shared" si="4"/>
        <v>7432026.6718612239</v>
      </c>
      <c r="AI15" s="74">
        <f t="shared" si="4"/>
        <v>8489080.7398334667</v>
      </c>
      <c r="AJ15" s="74">
        <f t="shared" si="4"/>
        <v>7730709.6214001607</v>
      </c>
      <c r="AK15" s="74">
        <f t="shared" si="4"/>
        <v>10061286.629280193</v>
      </c>
      <c r="AL15" s="74">
        <f t="shared" si="4"/>
        <v>11232232.53873623</v>
      </c>
      <c r="AM15" s="74">
        <f t="shared" si="4"/>
        <v>12326462.630083472</v>
      </c>
      <c r="AN15" s="74">
        <f t="shared" si="4"/>
        <v>11716227.73970017</v>
      </c>
      <c r="AO15" s="74">
        <f t="shared" si="4"/>
        <v>15530280.471240206</v>
      </c>
      <c r="AP15" s="74">
        <f t="shared" si="4"/>
        <v>17178286.649088249</v>
      </c>
      <c r="AQ15" s="74">
        <f t="shared" si="4"/>
        <v>16562814.062505899</v>
      </c>
      <c r="AS15" s="74">
        <f t="shared" ref="AS15:AT15" si="5">AS12-AS13</f>
        <v>91288334.0015589</v>
      </c>
      <c r="AT15" s="74">
        <f t="shared" si="5"/>
        <v>243883607.32766017</v>
      </c>
    </row>
    <row r="16" spans="1:46" ht="14.45">
      <c r="A16" s="62"/>
      <c r="B16" s="62"/>
    </row>
    <row r="17" spans="1:46" ht="14.45">
      <c r="A17" s="62" t="s">
        <v>281</v>
      </c>
      <c r="B17" s="62" t="s">
        <v>277</v>
      </c>
      <c r="H17" s="73">
        <f>Manpower!G49+Overheads!G27</f>
        <v>1504453</v>
      </c>
      <c r="I17" s="73">
        <f>Manpower!H49+Overheads!H27</f>
        <v>1392596.95</v>
      </c>
      <c r="J17" s="73">
        <f>Manpower!I49+Overheads!I27</f>
        <v>1396291.2000000002</v>
      </c>
      <c r="K17" s="73">
        <f>Manpower!J49+Overheads!J27</f>
        <v>1564814.875</v>
      </c>
      <c r="L17" s="73">
        <f>Manpower!K49+Overheads!K27</f>
        <v>1627572.9750000001</v>
      </c>
      <c r="M17" s="73">
        <f>Manpower!L49+Overheads!L27</f>
        <v>1498700.5</v>
      </c>
      <c r="N17" s="73">
        <f>Manpower!M49+Overheads!M27</f>
        <v>1859146.3</v>
      </c>
      <c r="O17" s="73">
        <f>Manpower!N49+Overheads!N27</f>
        <v>1786590.3499999999</v>
      </c>
      <c r="P17" s="73">
        <f>Manpower!O49+Overheads!O27</f>
        <v>1635822.73</v>
      </c>
      <c r="Q17" s="73">
        <f>Manpower!P49+Overheads!P27</f>
        <v>1924696.0109999999</v>
      </c>
      <c r="R17" s="73">
        <f>Manpower!Q49+Overheads!Q27</f>
        <v>1834913.6732000001</v>
      </c>
      <c r="S17" s="73">
        <f>Manpower!R49+Overheads!R27</f>
        <v>1845918.82284</v>
      </c>
      <c r="T17" s="73">
        <f>Manpower!S49+Overheads!S27</f>
        <v>2121439.2742784005</v>
      </c>
      <c r="U17" s="73">
        <f>Manpower!T49+Overheads!T27</f>
        <v>2171997.5093840798</v>
      </c>
      <c r="V17" s="73">
        <f>Manpower!U49+Overheads!U27</f>
        <v>1874824.8272608959</v>
      </c>
      <c r="W17" s="73">
        <f>Manpower!V49+Overheads!V27</f>
        <v>2182488.3587130751</v>
      </c>
      <c r="X17" s="73">
        <f>Manpower!W49+Overheads!W27</f>
        <v>2091912.4907056903</v>
      </c>
      <c r="Y17" s="73">
        <f>Manpower!X49+Overheads!X27</f>
        <v>2107266.4923468283</v>
      </c>
      <c r="Z17" s="73">
        <f>Manpower!Y49+Overheads!Y27</f>
        <v>2313111.6358161941</v>
      </c>
      <c r="AA17" s="73">
        <f>Manpower!Z49+Overheads!Z27</f>
        <v>2210115.6229794323</v>
      </c>
      <c r="AB17" s="73">
        <f>Manpower!AA49+Overheads!AA27</f>
        <v>2417115.4328253195</v>
      </c>
      <c r="AC17" s="73">
        <f>Manpower!AB49+Overheads!AB27</f>
        <v>2642992.0216403827</v>
      </c>
      <c r="AD17" s="73">
        <f>Manpower!AC49+Overheads!AC27</f>
        <v>2428719.2534684595</v>
      </c>
      <c r="AE17" s="73">
        <f>Manpower!AD49+Overheads!AD27</f>
        <v>2656264.8719121516</v>
      </c>
      <c r="AF17" s="73">
        <f>Manpower!AE49+Overheads!AE27</f>
        <v>3167499.8082218114</v>
      </c>
      <c r="AG17" s="73">
        <f>Manpower!AF49+Overheads!AF27</f>
        <v>2931293.9999911739</v>
      </c>
      <c r="AH17" s="73">
        <f>Manpower!AG49+Overheads!AG27</f>
        <v>3204481.2606144082</v>
      </c>
      <c r="AI17" s="73">
        <f>Manpower!AH49+Overheads!AH27</f>
        <v>3495122.8913622899</v>
      </c>
      <c r="AJ17" s="73">
        <f>Manpower!AI49+Overheads!AI27</f>
        <v>3320903.311509748</v>
      </c>
      <c r="AK17" s="73">
        <f>Manpower!AJ49+Overheads!AJ27</f>
        <v>3648610.6536741974</v>
      </c>
      <c r="AL17" s="73">
        <f>Manpower!AK49+Overheads!AK27</f>
        <v>4007329.6966465367</v>
      </c>
      <c r="AM17" s="73">
        <f>Manpower!AL49+Overheads!AL27</f>
        <v>4044768.1969633447</v>
      </c>
      <c r="AN17" s="73">
        <f>Manpower!AM49+Overheads!AM27</f>
        <v>4118090.6850935118</v>
      </c>
      <c r="AO17" s="73">
        <f>Manpower!AN49+Overheads!AN27</f>
        <v>4728586.7539997157</v>
      </c>
      <c r="AP17" s="73">
        <f>Manpower!AO49+Overheads!AO27</f>
        <v>4898681.7959121587</v>
      </c>
      <c r="AQ17" s="73">
        <f>Manpower!AP49+Overheads!AP27</f>
        <v>4805329.8562070904</v>
      </c>
      <c r="AS17" s="73">
        <f>Manpower!AU49+Overheads!AU27</f>
        <v>48360704.421325989</v>
      </c>
      <c r="AT17" s="73">
        <f>Manpower!AV49+Overheads!AV27</f>
        <v>80989116.790708408</v>
      </c>
    </row>
    <row r="18" spans="1:46" ht="14.45">
      <c r="A18" s="62" t="s">
        <v>282</v>
      </c>
      <c r="D18" s="44" t="s">
        <v>279</v>
      </c>
      <c r="E18" s="45">
        <v>30</v>
      </c>
      <c r="H18" s="74">
        <f t="shared" ref="H18:AQ18" si="6">H17*$E$18/30</f>
        <v>1504453</v>
      </c>
      <c r="I18" s="74">
        <f t="shared" si="6"/>
        <v>1392596.95</v>
      </c>
      <c r="J18" s="74">
        <f t="shared" si="6"/>
        <v>1396291.2000000002</v>
      </c>
      <c r="K18" s="74">
        <f t="shared" si="6"/>
        <v>1564814.875</v>
      </c>
      <c r="L18" s="74">
        <f t="shared" si="6"/>
        <v>1627572.9750000001</v>
      </c>
      <c r="M18" s="74">
        <f t="shared" si="6"/>
        <v>1498700.5</v>
      </c>
      <c r="N18" s="74">
        <f t="shared" si="6"/>
        <v>1859146.3</v>
      </c>
      <c r="O18" s="74">
        <f t="shared" si="6"/>
        <v>1786590.3499999999</v>
      </c>
      <c r="P18" s="74">
        <f t="shared" si="6"/>
        <v>1635822.73</v>
      </c>
      <c r="Q18" s="74">
        <f t="shared" si="6"/>
        <v>1924696.0109999999</v>
      </c>
      <c r="R18" s="74">
        <f t="shared" si="6"/>
        <v>1834913.6732000001</v>
      </c>
      <c r="S18" s="74">
        <f t="shared" si="6"/>
        <v>1845918.82284</v>
      </c>
      <c r="T18" s="74">
        <f t="shared" si="6"/>
        <v>2121439.2742784005</v>
      </c>
      <c r="U18" s="74">
        <f t="shared" si="6"/>
        <v>2171997.5093840798</v>
      </c>
      <c r="V18" s="74">
        <f t="shared" si="6"/>
        <v>1874824.8272608959</v>
      </c>
      <c r="W18" s="74">
        <f t="shared" si="6"/>
        <v>2182488.3587130751</v>
      </c>
      <c r="X18" s="74">
        <f t="shared" si="6"/>
        <v>2091912.4907056903</v>
      </c>
      <c r="Y18" s="74">
        <f t="shared" si="6"/>
        <v>2107266.4923468283</v>
      </c>
      <c r="Z18" s="74">
        <f t="shared" si="6"/>
        <v>2313111.6358161941</v>
      </c>
      <c r="AA18" s="74">
        <f t="shared" si="6"/>
        <v>2210115.6229794323</v>
      </c>
      <c r="AB18" s="74">
        <f t="shared" si="6"/>
        <v>2417115.4328253195</v>
      </c>
      <c r="AC18" s="74">
        <f t="shared" si="6"/>
        <v>2642992.0216403827</v>
      </c>
      <c r="AD18" s="74">
        <f t="shared" si="6"/>
        <v>2428719.2534684595</v>
      </c>
      <c r="AE18" s="74">
        <f t="shared" si="6"/>
        <v>2656264.8719121516</v>
      </c>
      <c r="AF18" s="74">
        <f t="shared" si="6"/>
        <v>3167499.8082218114</v>
      </c>
      <c r="AG18" s="74">
        <f t="shared" si="6"/>
        <v>2931293.9999911739</v>
      </c>
      <c r="AH18" s="74">
        <f t="shared" si="6"/>
        <v>3204481.2606144082</v>
      </c>
      <c r="AI18" s="74">
        <f t="shared" si="6"/>
        <v>3495122.8913622899</v>
      </c>
      <c r="AJ18" s="74">
        <f t="shared" si="6"/>
        <v>3320903.311509748</v>
      </c>
      <c r="AK18" s="74">
        <f t="shared" si="6"/>
        <v>3648610.6536741974</v>
      </c>
      <c r="AL18" s="74">
        <f t="shared" si="6"/>
        <v>4007329.6966465367</v>
      </c>
      <c r="AM18" s="74">
        <f t="shared" si="6"/>
        <v>4044768.1969633447</v>
      </c>
      <c r="AN18" s="74">
        <f t="shared" si="6"/>
        <v>4118090.6850935118</v>
      </c>
      <c r="AO18" s="74">
        <f t="shared" si="6"/>
        <v>4728586.7539997157</v>
      </c>
      <c r="AP18" s="74">
        <f t="shared" si="6"/>
        <v>4898681.7959121587</v>
      </c>
      <c r="AQ18" s="74">
        <f t="shared" si="6"/>
        <v>4805329.8562070904</v>
      </c>
      <c r="AS18" s="74">
        <f t="shared" ref="AS18:AT18" si="7">AS17*$E$18/30</f>
        <v>48360704.421325989</v>
      </c>
      <c r="AT18" s="74">
        <f t="shared" si="7"/>
        <v>80989116.790708408</v>
      </c>
    </row>
    <row r="20" spans="1:46" ht="14.45">
      <c r="A20" s="4" t="s">
        <v>283</v>
      </c>
      <c r="H20" s="74">
        <f t="shared" ref="H20:AQ20" si="8">H12</f>
        <v>1500000</v>
      </c>
      <c r="I20" s="74">
        <f t="shared" si="8"/>
        <v>1549000</v>
      </c>
      <c r="J20" s="74">
        <f t="shared" si="8"/>
        <v>1584000</v>
      </c>
      <c r="K20" s="74">
        <f t="shared" si="8"/>
        <v>1822500</v>
      </c>
      <c r="L20" s="74">
        <f t="shared" si="8"/>
        <v>3364500</v>
      </c>
      <c r="M20" s="74">
        <f t="shared" si="8"/>
        <v>1910000</v>
      </c>
      <c r="N20" s="74">
        <f t="shared" si="8"/>
        <v>3666000</v>
      </c>
      <c r="O20" s="74">
        <f t="shared" si="8"/>
        <v>3737000</v>
      </c>
      <c r="P20" s="74">
        <f t="shared" si="8"/>
        <v>2308600</v>
      </c>
      <c r="Q20" s="74">
        <f t="shared" si="8"/>
        <v>4098020</v>
      </c>
      <c r="R20" s="74">
        <f t="shared" si="8"/>
        <v>4194824</v>
      </c>
      <c r="S20" s="74">
        <f t="shared" si="8"/>
        <v>4299088.8</v>
      </c>
      <c r="T20" s="74">
        <f t="shared" si="8"/>
        <v>4506501.8880000003</v>
      </c>
      <c r="U20" s="74">
        <f t="shared" si="8"/>
        <v>6236357.2655999996</v>
      </c>
      <c r="V20" s="74">
        <f t="shared" si="8"/>
        <v>3256748.7187199998</v>
      </c>
      <c r="W20" s="74">
        <f t="shared" si="8"/>
        <v>5246218.4624640001</v>
      </c>
      <c r="X20" s="74">
        <f t="shared" si="8"/>
        <v>5477617.1549567999</v>
      </c>
      <c r="Y20" s="74">
        <f t="shared" si="8"/>
        <v>5732510.5859481599</v>
      </c>
      <c r="Z20" s="74">
        <f t="shared" si="8"/>
        <v>6246912.7031377917</v>
      </c>
      <c r="AA20" s="74">
        <f t="shared" si="8"/>
        <v>6597495.2437653504</v>
      </c>
      <c r="AB20" s="74">
        <f t="shared" si="8"/>
        <v>8558649.2925184201</v>
      </c>
      <c r="AC20" s="74">
        <f t="shared" si="8"/>
        <v>9444974.1510221045</v>
      </c>
      <c r="AD20" s="74">
        <f t="shared" si="8"/>
        <v>8395018.9812265262</v>
      </c>
      <c r="AE20" s="74">
        <f t="shared" si="8"/>
        <v>10550827.777471831</v>
      </c>
      <c r="AF20" s="74">
        <f t="shared" si="8"/>
        <v>11366762.749614507</v>
      </c>
      <c r="AG20" s="74">
        <f t="shared" si="8"/>
        <v>10543192.799537407</v>
      </c>
      <c r="AH20" s="74">
        <f t="shared" si="8"/>
        <v>13131418.85944489</v>
      </c>
      <c r="AI20" s="74">
        <f t="shared" si="8"/>
        <v>14632050.131333867</v>
      </c>
      <c r="AJ20" s="74">
        <f t="shared" si="8"/>
        <v>14234422.657600641</v>
      </c>
      <c r="AK20" s="74">
        <f t="shared" si="8"/>
        <v>17339181.93912077</v>
      </c>
      <c r="AL20" s="74">
        <f t="shared" si="8"/>
        <v>19200565.576944921</v>
      </c>
      <c r="AM20" s="74">
        <f t="shared" si="8"/>
        <v>21092450.942333903</v>
      </c>
      <c r="AN20" s="74">
        <f t="shared" si="8"/>
        <v>21600918.380800687</v>
      </c>
      <c r="AO20" s="74">
        <f t="shared" si="8"/>
        <v>26318112.306960825</v>
      </c>
      <c r="AP20" s="74">
        <f t="shared" si="8"/>
        <v>29182584.518352993</v>
      </c>
      <c r="AQ20" s="74">
        <f t="shared" si="8"/>
        <v>28298151.172023591</v>
      </c>
      <c r="AS20" s="74">
        <f t="shared" ref="AS20:AT20" si="9">AS12</f>
        <v>191126635.91971558</v>
      </c>
      <c r="AT20" s="74">
        <f t="shared" si="9"/>
        <v>459738762.58368927</v>
      </c>
    </row>
    <row r="21" spans="1:46" ht="15.75" customHeight="1">
      <c r="A21" s="4" t="s">
        <v>284</v>
      </c>
      <c r="H21" s="74">
        <f t="shared" ref="H21:AQ21" si="10">SUM(H13,H18)</f>
        <v>2367863</v>
      </c>
      <c r="I21" s="74">
        <f t="shared" si="10"/>
        <v>2275606.9500000002</v>
      </c>
      <c r="J21" s="74">
        <f t="shared" si="10"/>
        <v>2293301.2000000002</v>
      </c>
      <c r="K21" s="74">
        <f t="shared" si="10"/>
        <v>3332189.875</v>
      </c>
      <c r="L21" s="74">
        <f t="shared" si="10"/>
        <v>3561747.9750000001</v>
      </c>
      <c r="M21" s="74">
        <f t="shared" si="10"/>
        <v>3796643.8333333335</v>
      </c>
      <c r="N21" s="74">
        <f t="shared" si="10"/>
        <v>4334779.6333333328</v>
      </c>
      <c r="O21" s="74">
        <f t="shared" si="10"/>
        <v>4804862.0166666666</v>
      </c>
      <c r="P21" s="74">
        <f t="shared" si="10"/>
        <v>4533294.3966666665</v>
      </c>
      <c r="Q21" s="74">
        <f t="shared" si="10"/>
        <v>5008607.6776666669</v>
      </c>
      <c r="R21" s="74">
        <f t="shared" si="10"/>
        <v>4958353.3398666671</v>
      </c>
      <c r="S21" s="74">
        <f t="shared" si="10"/>
        <v>5012032.0895066671</v>
      </c>
      <c r="T21" s="74">
        <f t="shared" si="10"/>
        <v>4540718.0902784001</v>
      </c>
      <c r="U21" s="74">
        <f t="shared" si="10"/>
        <v>4812181.6085840799</v>
      </c>
      <c r="V21" s="74">
        <f t="shared" si="10"/>
        <v>4628381.2663008962</v>
      </c>
      <c r="W21" s="74">
        <f t="shared" si="10"/>
        <v>4818979.6055610757</v>
      </c>
      <c r="X21" s="74">
        <f t="shared" si="10"/>
        <v>4823491.50692329</v>
      </c>
      <c r="Y21" s="74">
        <f t="shared" si="10"/>
        <v>4723196.8318079486</v>
      </c>
      <c r="Z21" s="74">
        <f t="shared" si="10"/>
        <v>5275083.563169538</v>
      </c>
      <c r="AA21" s="74">
        <f t="shared" si="10"/>
        <v>5316689.4558034446</v>
      </c>
      <c r="AB21" s="74">
        <f t="shared" si="10"/>
        <v>5840893.5522141345</v>
      </c>
      <c r="AC21" s="74">
        <f t="shared" si="10"/>
        <v>6618051.284906961</v>
      </c>
      <c r="AD21" s="74">
        <f t="shared" si="10"/>
        <v>6684485.8893883536</v>
      </c>
      <c r="AE21" s="74">
        <f t="shared" si="10"/>
        <v>7310914.3550160248</v>
      </c>
      <c r="AF21" s="74">
        <f t="shared" si="10"/>
        <v>8130894.6009326912</v>
      </c>
      <c r="AG21" s="74">
        <f t="shared" si="10"/>
        <v>8075083.5176442303</v>
      </c>
      <c r="AH21" s="74">
        <f t="shared" si="10"/>
        <v>8903873.4481980745</v>
      </c>
      <c r="AI21" s="74">
        <f t="shared" si="10"/>
        <v>9638092.2828626893</v>
      </c>
      <c r="AJ21" s="74">
        <f t="shared" si="10"/>
        <v>9824616.3477102295</v>
      </c>
      <c r="AK21" s="74">
        <f t="shared" si="10"/>
        <v>10926505.963514775</v>
      </c>
      <c r="AL21" s="74">
        <f t="shared" si="10"/>
        <v>11975662.734855227</v>
      </c>
      <c r="AM21" s="74">
        <f t="shared" si="10"/>
        <v>12810756.509213775</v>
      </c>
      <c r="AN21" s="74">
        <f t="shared" si="10"/>
        <v>14002781.326194029</v>
      </c>
      <c r="AO21" s="74">
        <f t="shared" si="10"/>
        <v>15516418.589720335</v>
      </c>
      <c r="AP21" s="74">
        <f t="shared" si="10"/>
        <v>16902979.665176902</v>
      </c>
      <c r="AQ21" s="74">
        <f t="shared" si="10"/>
        <v>16540666.965724781</v>
      </c>
      <c r="AS21" s="74">
        <f t="shared" ref="AS21:AT21" si="11">SUM(AS13,AS18)</f>
        <v>148199006.33948267</v>
      </c>
      <c r="AT21" s="74">
        <f t="shared" si="11"/>
        <v>296844272.04673749</v>
      </c>
    </row>
    <row r="22" spans="1:46" ht="15.75" customHeight="1">
      <c r="A22" s="4"/>
    </row>
    <row r="23" spans="1:46" ht="15.75" customHeight="1">
      <c r="A23" s="5" t="s">
        <v>285</v>
      </c>
      <c r="H23" s="74">
        <f t="shared" ref="H23:AQ23" si="12">H20-H21</f>
        <v>-867863</v>
      </c>
      <c r="I23" s="74">
        <f t="shared" si="12"/>
        <v>-726606.95000000019</v>
      </c>
      <c r="J23" s="74">
        <f t="shared" si="12"/>
        <v>-709301.20000000019</v>
      </c>
      <c r="K23" s="74">
        <f t="shared" si="12"/>
        <v>-1509689.875</v>
      </c>
      <c r="L23" s="74">
        <f t="shared" si="12"/>
        <v>-197247.97500000009</v>
      </c>
      <c r="M23" s="74">
        <f t="shared" si="12"/>
        <v>-1886643.8333333335</v>
      </c>
      <c r="N23" s="74">
        <f t="shared" si="12"/>
        <v>-668779.63333333284</v>
      </c>
      <c r="O23" s="74">
        <f t="shared" si="12"/>
        <v>-1067862.0166666666</v>
      </c>
      <c r="P23" s="74">
        <f t="shared" si="12"/>
        <v>-2224694.3966666665</v>
      </c>
      <c r="Q23" s="74">
        <f t="shared" si="12"/>
        <v>-910587.67766666692</v>
      </c>
      <c r="R23" s="74">
        <f t="shared" si="12"/>
        <v>-763529.33986666705</v>
      </c>
      <c r="S23" s="74">
        <f t="shared" si="12"/>
        <v>-712943.28950666729</v>
      </c>
      <c r="T23" s="74">
        <f t="shared" si="12"/>
        <v>-34216.20227839984</v>
      </c>
      <c r="U23" s="74">
        <f t="shared" si="12"/>
        <v>1424175.6570159197</v>
      </c>
      <c r="V23" s="74">
        <f t="shared" si="12"/>
        <v>-1371632.5475808964</v>
      </c>
      <c r="W23" s="74">
        <f t="shared" si="12"/>
        <v>427238.85690292437</v>
      </c>
      <c r="X23" s="74">
        <f t="shared" si="12"/>
        <v>654125.64803350996</v>
      </c>
      <c r="Y23" s="74">
        <f t="shared" si="12"/>
        <v>1009313.7541402113</v>
      </c>
      <c r="Z23" s="74">
        <f t="shared" si="12"/>
        <v>971829.13996825367</v>
      </c>
      <c r="AA23" s="74">
        <f t="shared" si="12"/>
        <v>1280805.7879619058</v>
      </c>
      <c r="AB23" s="74">
        <f t="shared" si="12"/>
        <v>2717755.7403042857</v>
      </c>
      <c r="AC23" s="74">
        <f t="shared" si="12"/>
        <v>2826922.8661151435</v>
      </c>
      <c r="AD23" s="74">
        <f t="shared" si="12"/>
        <v>1710533.0918381726</v>
      </c>
      <c r="AE23" s="74">
        <f t="shared" si="12"/>
        <v>3239913.4224558063</v>
      </c>
      <c r="AF23" s="74">
        <f t="shared" si="12"/>
        <v>3235868.1486818157</v>
      </c>
      <c r="AG23" s="74">
        <f t="shared" si="12"/>
        <v>2468109.281893177</v>
      </c>
      <c r="AH23" s="74">
        <f t="shared" si="12"/>
        <v>4227545.4112468157</v>
      </c>
      <c r="AI23" s="74">
        <f t="shared" si="12"/>
        <v>4993957.8484711777</v>
      </c>
      <c r="AJ23" s="74">
        <f t="shared" si="12"/>
        <v>4409806.3098904118</v>
      </c>
      <c r="AK23" s="74">
        <f t="shared" si="12"/>
        <v>6412675.9756059945</v>
      </c>
      <c r="AL23" s="74">
        <f t="shared" si="12"/>
        <v>7224902.842089694</v>
      </c>
      <c r="AM23" s="74">
        <f t="shared" si="12"/>
        <v>8281694.4331201278</v>
      </c>
      <c r="AN23" s="74">
        <f t="shared" si="12"/>
        <v>7598137.0546066575</v>
      </c>
      <c r="AO23" s="74">
        <f t="shared" si="12"/>
        <v>10801693.71724049</v>
      </c>
      <c r="AP23" s="74">
        <f t="shared" si="12"/>
        <v>12279604.853176091</v>
      </c>
      <c r="AQ23" s="74">
        <f t="shared" si="12"/>
        <v>11757484.206298809</v>
      </c>
      <c r="AS23" s="74">
        <f t="shared" ref="AS23:AT23" si="13">AS20-AS21</f>
        <v>42927629.580232918</v>
      </c>
      <c r="AT23" s="74">
        <f t="shared" si="13"/>
        <v>162894490.53695178</v>
      </c>
    </row>
    <row r="24" spans="1:46" ht="15.75" customHeight="1"/>
    <row r="25" spans="1:46" ht="15.75" customHeight="1"/>
    <row r="26" spans="1:46" ht="15.75" customHeight="1"/>
    <row r="27" spans="1:46" ht="15.75" customHeight="1"/>
    <row r="28" spans="1:46" ht="15.75" customHeight="1"/>
    <row r="29" spans="1:46" ht="15.75" customHeight="1"/>
    <row r="30" spans="1:46" ht="15.75" customHeight="1"/>
    <row r="31" spans="1:46" ht="15.75" customHeight="1"/>
    <row r="32" spans="1:4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3:N1000"/>
  <sheetViews>
    <sheetView workbookViewId="0">
      <selection activeCell="B18" sqref="B18:B19"/>
    </sheetView>
  </sheetViews>
  <sheetFormatPr defaultColWidth="14.42578125" defaultRowHeight="15" customHeight="1"/>
  <cols>
    <col min="1" max="8" width="8.85546875" customWidth="1"/>
    <col min="9" max="9" width="18.85546875" customWidth="1"/>
    <col min="10" max="26" width="8.85546875" customWidth="1"/>
  </cols>
  <sheetData>
    <row r="3" spans="4:14" ht="14.45">
      <c r="D3" s="5" t="s">
        <v>286</v>
      </c>
      <c r="H3" s="29"/>
      <c r="J3" s="7"/>
    </row>
    <row r="4" spans="4:14" ht="14.45">
      <c r="D4" s="62" t="s">
        <v>287</v>
      </c>
      <c r="H4" s="29"/>
      <c r="J4" s="7"/>
    </row>
    <row r="5" spans="4:14" ht="14.45">
      <c r="H5" s="29"/>
      <c r="I5" s="37" t="s">
        <v>288</v>
      </c>
      <c r="K5" s="7"/>
    </row>
    <row r="6" spans="4:14" ht="14.45">
      <c r="D6" s="5" t="s">
        <v>289</v>
      </c>
      <c r="I6" s="29" t="s">
        <v>172</v>
      </c>
      <c r="K6" s="7" t="s">
        <v>290</v>
      </c>
      <c r="L6" s="7">
        <v>120000</v>
      </c>
      <c r="M6" s="62" t="s">
        <v>291</v>
      </c>
      <c r="N6" s="29" t="s">
        <v>137</v>
      </c>
    </row>
    <row r="7" spans="4:14" ht="14.45">
      <c r="D7" s="62" t="s">
        <v>292</v>
      </c>
      <c r="I7" s="29" t="s">
        <v>174</v>
      </c>
      <c r="K7" s="7" t="s">
        <v>290</v>
      </c>
      <c r="L7" s="7">
        <v>100000</v>
      </c>
      <c r="M7" s="62" t="s">
        <v>291</v>
      </c>
    </row>
    <row r="8" spans="4:14" ht="14.45">
      <c r="D8" s="62" t="s">
        <v>293</v>
      </c>
    </row>
    <row r="9" spans="4:14" ht="14.45">
      <c r="D9" s="62" t="s">
        <v>223</v>
      </c>
      <c r="F9" s="62" t="s">
        <v>225</v>
      </c>
      <c r="K9" s="7"/>
    </row>
    <row r="10" spans="4:14" ht="14.45">
      <c r="D10" s="62" t="s">
        <v>294</v>
      </c>
      <c r="I10" s="29"/>
      <c r="J10" s="7"/>
      <c r="K10" s="7"/>
    </row>
    <row r="11" spans="4:14" ht="14.45">
      <c r="D11" s="62" t="s">
        <v>226</v>
      </c>
    </row>
    <row r="12" spans="4:14" ht="14.45">
      <c r="J12" s="7"/>
      <c r="K12" s="7"/>
    </row>
    <row r="13" spans="4:14" ht="14.45">
      <c r="K13" s="7"/>
    </row>
    <row r="14" spans="4:14" ht="14.45">
      <c r="K14" s="7"/>
    </row>
    <row r="15" spans="4:14" ht="14.45">
      <c r="D15" s="7"/>
      <c r="E15" s="29"/>
      <c r="G15" s="7"/>
      <c r="H15" s="7"/>
    </row>
    <row r="16" spans="4:14" ht="14.45">
      <c r="E16" s="29"/>
      <c r="G16" s="7"/>
      <c r="H16" s="7"/>
      <c r="I16" s="7"/>
    </row>
    <row r="18" spans="4:12" ht="14.45">
      <c r="D18" s="62" t="s">
        <v>295</v>
      </c>
    </row>
    <row r="19" spans="4:12" ht="14.45">
      <c r="D19" s="62" t="s">
        <v>296</v>
      </c>
      <c r="F19" s="62" t="s">
        <v>297</v>
      </c>
      <c r="I19" s="62" t="s">
        <v>298</v>
      </c>
    </row>
    <row r="21" spans="4:12" ht="15.75" customHeight="1">
      <c r="I21" s="37" t="s">
        <v>137</v>
      </c>
      <c r="J21" s="35"/>
    </row>
    <row r="22" spans="4:12" ht="15.75" customHeight="1">
      <c r="I22" s="35" t="s">
        <v>129</v>
      </c>
      <c r="J22" s="35" t="s">
        <v>168</v>
      </c>
      <c r="K22" s="7" t="s">
        <v>291</v>
      </c>
      <c r="L22" s="62">
        <v>5000</v>
      </c>
    </row>
    <row r="23" spans="4:12" ht="15.75" customHeight="1">
      <c r="I23" s="35" t="s">
        <v>299</v>
      </c>
      <c r="J23" s="35" t="s">
        <v>168</v>
      </c>
      <c r="K23" s="7" t="s">
        <v>300</v>
      </c>
      <c r="L23" s="62">
        <v>600</v>
      </c>
    </row>
    <row r="24" spans="4:12" ht="15.75" customHeight="1">
      <c r="I24" s="35" t="s">
        <v>301</v>
      </c>
      <c r="J24" s="35" t="s">
        <v>168</v>
      </c>
    </row>
    <row r="25" spans="4:12" ht="15.75" customHeight="1">
      <c r="I25" s="35" t="s">
        <v>134</v>
      </c>
      <c r="J25" s="35" t="s">
        <v>168</v>
      </c>
      <c r="K25" s="62" t="s">
        <v>291</v>
      </c>
      <c r="L25" s="7">
        <v>140000</v>
      </c>
    </row>
    <row r="26" spans="4:12" ht="15.75" customHeight="1">
      <c r="I26" s="29" t="s">
        <v>135</v>
      </c>
      <c r="J26" s="35" t="s">
        <v>168</v>
      </c>
      <c r="K26" s="7" t="s">
        <v>291</v>
      </c>
      <c r="L26" s="7">
        <v>10000</v>
      </c>
    </row>
    <row r="27" spans="4:12" ht="15.75" customHeight="1">
      <c r="I27" s="7" t="s">
        <v>136</v>
      </c>
      <c r="J27" s="35" t="s">
        <v>168</v>
      </c>
      <c r="K27" s="7" t="s">
        <v>291</v>
      </c>
      <c r="L27" s="62" t="s">
        <v>302</v>
      </c>
    </row>
    <row r="28" spans="4:12" ht="15.75" customHeight="1">
      <c r="I28" s="29" t="s">
        <v>130</v>
      </c>
      <c r="J28" s="35" t="s">
        <v>168</v>
      </c>
      <c r="K28" s="7" t="s">
        <v>300</v>
      </c>
      <c r="L28" s="7" t="s">
        <v>303</v>
      </c>
    </row>
    <row r="29" spans="4:12" ht="15.75" customHeight="1"/>
    <row r="30" spans="4:12" ht="15.75" customHeight="1">
      <c r="I30" s="35" t="s">
        <v>138</v>
      </c>
      <c r="J30" s="35" t="s">
        <v>168</v>
      </c>
      <c r="K30" s="7" t="s">
        <v>291</v>
      </c>
    </row>
    <row r="31" spans="4:12" ht="15.75" customHeight="1">
      <c r="I31" s="29" t="s">
        <v>139</v>
      </c>
      <c r="J31" s="35" t="s">
        <v>168</v>
      </c>
      <c r="K31" s="7" t="s">
        <v>300</v>
      </c>
      <c r="L31" s="62" t="s">
        <v>304</v>
      </c>
    </row>
    <row r="32" spans="4:12" ht="15.75" customHeight="1">
      <c r="I32" s="29" t="s">
        <v>140</v>
      </c>
      <c r="J32" s="35" t="s">
        <v>168</v>
      </c>
      <c r="K32" s="7" t="s">
        <v>300</v>
      </c>
      <c r="L32" s="62" t="s">
        <v>303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9"/>
  <sheetViews>
    <sheetView showGridLines="0" workbookViewId="0">
      <selection activeCell="D38" sqref="D38"/>
    </sheetView>
  </sheetViews>
  <sheetFormatPr defaultColWidth="14.42578125" defaultRowHeight="15" customHeight="1"/>
  <cols>
    <col min="1" max="1" width="26" customWidth="1"/>
  </cols>
  <sheetData>
    <row r="1" spans="1:25" ht="15" customHeight="1">
      <c r="A1" s="1" t="s">
        <v>0</v>
      </c>
    </row>
    <row r="2" spans="1:25" ht="15" customHeight="1">
      <c r="A2" s="2" t="s">
        <v>35</v>
      </c>
    </row>
    <row r="3" spans="1:25" ht="14.45">
      <c r="A3" s="3" t="s">
        <v>2</v>
      </c>
    </row>
    <row r="6" spans="1:25" ht="15.6">
      <c r="A6" s="9" t="s">
        <v>3</v>
      </c>
      <c r="B6" s="67" t="s">
        <v>4</v>
      </c>
      <c r="C6" s="67" t="s">
        <v>5</v>
      </c>
      <c r="D6" s="67" t="s">
        <v>6</v>
      </c>
      <c r="E6" s="68" t="s">
        <v>7</v>
      </c>
      <c r="F6" s="68" t="s">
        <v>8</v>
      </c>
    </row>
    <row r="7" spans="1:25" ht="14.45">
      <c r="A7" s="5" t="s">
        <v>36</v>
      </c>
    </row>
    <row r="8" spans="1:25" ht="14.45">
      <c r="A8" s="4" t="s">
        <v>37</v>
      </c>
      <c r="B8" s="73">
        <f>SUM('Detailed BS'!D8:O8)</f>
        <v>44125833.333333336</v>
      </c>
      <c r="C8" s="73">
        <f>SUM('Detailed BS'!P8:AA8)</f>
        <v>121598666.66666667</v>
      </c>
      <c r="D8" s="73">
        <f>SUM('Detailed BS'!AB8:AM8)</f>
        <v>173719533.33333334</v>
      </c>
      <c r="E8" s="73">
        <f>'Detailed BS'!AO8</f>
        <v>8772106.6666666679</v>
      </c>
      <c r="F8" s="73">
        <f>'Detailed BS'!AP8</f>
        <v>13522037.333333332</v>
      </c>
    </row>
    <row r="9" spans="1:25" ht="14.45">
      <c r="A9" s="4" t="s">
        <v>38</v>
      </c>
      <c r="B9" s="74">
        <f>SUM('Detailed BS'!D9:O9)</f>
        <v>34033532.799999997</v>
      </c>
      <c r="C9" s="74">
        <f>SUM('Detailed BS'!P9:AA9)</f>
        <v>80249832.22483097</v>
      </c>
      <c r="D9" s="74">
        <f>SUM('Detailed BS'!AB9:AM9)</f>
        <v>226939812.034069</v>
      </c>
      <c r="E9" s="74">
        <f>'Detailed BS'!AO9</f>
        <v>191126635.91971558</v>
      </c>
      <c r="F9" s="74">
        <f>'Detailed BS'!AP9</f>
        <v>459738762.58368927</v>
      </c>
    </row>
    <row r="10" spans="1:25" ht="14.45">
      <c r="A10" s="4" t="s">
        <v>39</v>
      </c>
      <c r="B10" s="74">
        <f>SUM('Detailed BS'!D10:O10)</f>
        <v>-115520349.90050136</v>
      </c>
      <c r="C10" s="74">
        <f>SUM('Detailed BS'!P10:AA10)</f>
        <v>-273297409.61026722</v>
      </c>
      <c r="D10" s="74">
        <f>SUM('Detailed BS'!AB10:AM10)</f>
        <v>20062488.714750171</v>
      </c>
      <c r="E10" s="74">
        <f>'Detailed BS'!AO10</f>
        <v>27878378.016704328</v>
      </c>
      <c r="F10" s="74">
        <f>'Detailed BS'!AP10</f>
        <v>18613472.255313165</v>
      </c>
    </row>
    <row r="11" spans="1:25" ht="14.45">
      <c r="A11" s="4"/>
    </row>
    <row r="12" spans="1:25" ht="14.45">
      <c r="A12" s="5" t="s">
        <v>40</v>
      </c>
      <c r="B12" s="10">
        <f t="shared" ref="B12:F12" si="0">SUM(B8:B10)</f>
        <v>-37360983.76716803</v>
      </c>
      <c r="C12" s="10">
        <f t="shared" si="0"/>
        <v>-71448910.71876958</v>
      </c>
      <c r="D12" s="10">
        <f t="shared" si="0"/>
        <v>420721834.08215249</v>
      </c>
      <c r="E12" s="10">
        <f t="shared" si="0"/>
        <v>227777120.60308656</v>
      </c>
      <c r="F12" s="10">
        <f t="shared" si="0"/>
        <v>491874272.17233574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4.45">
      <c r="A13" s="4"/>
    </row>
    <row r="14" spans="1:25" ht="14.45">
      <c r="A14" s="5" t="s">
        <v>41</v>
      </c>
    </row>
    <row r="15" spans="1:25" ht="14.45">
      <c r="A15" s="4" t="s">
        <v>42</v>
      </c>
      <c r="B15" s="73">
        <f>SUM('Detailed BS'!D15:O15)</f>
        <v>-83640265.754208013</v>
      </c>
      <c r="C15" s="73">
        <f>SUM('Detailed BS'!P15:AA15)</f>
        <v>-136841977.72872365</v>
      </c>
      <c r="D15" s="73">
        <f>SUM('Detailed BS'!AB15:AM15)</f>
        <v>277473502.13040483</v>
      </c>
      <c r="E15" s="73">
        <f>'Detailed BS'!AO15</f>
        <v>79578114.263603926</v>
      </c>
      <c r="F15" s="73">
        <f>'Detailed BS'!AP15</f>
        <v>195030000.12559831</v>
      </c>
    </row>
    <row r="16" spans="1:25" ht="14.45">
      <c r="A16" s="3" t="s">
        <v>43</v>
      </c>
      <c r="B16" s="62">
        <f>SUM('Detailed BS'!D16:O16)</f>
        <v>0</v>
      </c>
      <c r="C16" s="62">
        <f>SUM('Detailed BS'!P16:AA16)</f>
        <v>0</v>
      </c>
      <c r="D16" s="62">
        <f>SUM('Detailed BS'!AB16:AM16)</f>
        <v>0</v>
      </c>
      <c r="E16" s="62">
        <f>'Detailed BS'!AO16</f>
        <v>0</v>
      </c>
      <c r="F16" s="62">
        <f>'Detailed BS'!AP16</f>
        <v>0</v>
      </c>
    </row>
    <row r="17" spans="1:25" ht="14.45">
      <c r="A17" s="4" t="s">
        <v>44</v>
      </c>
      <c r="B17" s="74">
        <f>SUM('Detailed BS'!D17:O17)</f>
        <v>46279281.987039998</v>
      </c>
      <c r="C17" s="74">
        <f>SUM('Detailed BS'!P17:AA17)</f>
        <v>65393067.009954147</v>
      </c>
      <c r="D17" s="74">
        <f>SUM('Detailed BS'!AB17:AM17)</f>
        <v>143248331.95174775</v>
      </c>
      <c r="E17" s="74">
        <f>'Detailed BS'!AO17</f>
        <v>148199006.33948267</v>
      </c>
      <c r="F17" s="74">
        <f>'Detailed BS'!AP17</f>
        <v>296844272.04673749</v>
      </c>
    </row>
    <row r="18" spans="1:25" ht="14.45">
      <c r="A18" s="4"/>
    </row>
    <row r="19" spans="1:25" ht="14.45">
      <c r="A19" s="5" t="s">
        <v>45</v>
      </c>
      <c r="B19" s="10">
        <f t="shared" ref="B19:F19" si="1">SUM(B15:B17)</f>
        <v>-37360983.767168015</v>
      </c>
      <c r="C19" s="10">
        <f t="shared" si="1"/>
        <v>-71448910.718769491</v>
      </c>
      <c r="D19" s="10">
        <f t="shared" si="1"/>
        <v>420721834.08215261</v>
      </c>
      <c r="E19" s="10">
        <f t="shared" si="1"/>
        <v>227777120.60308659</v>
      </c>
      <c r="F19" s="10">
        <f t="shared" si="1"/>
        <v>491874272.1723358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28"/>
  <sheetViews>
    <sheetView showGridLines="0" workbookViewId="0">
      <selection activeCell="B28" sqref="B28"/>
    </sheetView>
  </sheetViews>
  <sheetFormatPr defaultColWidth="14.42578125" defaultRowHeight="15" customHeight="1"/>
  <cols>
    <col min="1" max="1" width="30.42578125" customWidth="1"/>
  </cols>
  <sheetData>
    <row r="1" spans="1:6" ht="15" customHeight="1">
      <c r="A1" s="1" t="s">
        <v>0</v>
      </c>
    </row>
    <row r="2" spans="1:6" ht="15" customHeight="1">
      <c r="A2" s="2" t="s">
        <v>46</v>
      </c>
    </row>
    <row r="3" spans="1:6" ht="14.45">
      <c r="A3" s="3" t="s">
        <v>2</v>
      </c>
    </row>
    <row r="6" spans="1:6" ht="15.6">
      <c r="A6" s="9" t="s">
        <v>3</v>
      </c>
      <c r="B6" s="67" t="s">
        <v>4</v>
      </c>
      <c r="C6" s="67" t="s">
        <v>5</v>
      </c>
      <c r="D6" s="67" t="s">
        <v>6</v>
      </c>
      <c r="E6" s="68" t="s">
        <v>7</v>
      </c>
      <c r="F6" s="68" t="s">
        <v>8</v>
      </c>
    </row>
    <row r="7" spans="1:6" ht="14.45">
      <c r="A7" s="4" t="s">
        <v>47</v>
      </c>
      <c r="B7" s="73">
        <f>SUM('Detailed CFS'!D7:O7)</f>
        <v>-13653589.522368001</v>
      </c>
      <c r="C7" s="73">
        <f>SUM('Detailed CFS'!P7:AA7)</f>
        <v>7707722.0374159412</v>
      </c>
      <c r="D7" s="73">
        <f>SUM('Detailed CFS'!AB7:AM7)</f>
        <v>56619233.013150692</v>
      </c>
      <c r="E7" s="73">
        <f>'Detailed CFS'!AO7</f>
        <v>28904748.735405281</v>
      </c>
      <c r="F7" s="73">
        <f>'Detailed CFS'!AP7</f>
        <v>115451885.86199439</v>
      </c>
    </row>
    <row r="8" spans="1:6" ht="14.45">
      <c r="A8" s="4" t="s">
        <v>26</v>
      </c>
      <c r="B8" s="73">
        <f>SUM('Detailed CFS'!D8:O8)</f>
        <v>1407500.0000000002</v>
      </c>
      <c r="C8" s="73">
        <f>SUM('Detailed CFS'!P8:AA8)</f>
        <v>4579000</v>
      </c>
      <c r="D8" s="73">
        <f>SUM('Detailed CFS'!AB8:AM8)</f>
        <v>8196900</v>
      </c>
      <c r="E8" s="73">
        <f>'Detailed CFS'!AO8</f>
        <v>4386053.333333333</v>
      </c>
      <c r="F8" s="73">
        <f>'Detailed CFS'!AP8</f>
        <v>8954045.333333334</v>
      </c>
    </row>
    <row r="9" spans="1:6" ht="14.45">
      <c r="A9" s="4" t="s">
        <v>48</v>
      </c>
      <c r="B9" s="73">
        <f t="shared" ref="B9:F9" si="0">B7+B8</f>
        <v>-12246089.522368001</v>
      </c>
      <c r="C9" s="73">
        <f t="shared" si="0"/>
        <v>12286722.03741594</v>
      </c>
      <c r="D9" s="73">
        <f t="shared" si="0"/>
        <v>64816133.013150692</v>
      </c>
      <c r="E9" s="73">
        <f t="shared" si="0"/>
        <v>33290802.068738613</v>
      </c>
      <c r="F9" s="73">
        <f t="shared" si="0"/>
        <v>124405931.19532771</v>
      </c>
    </row>
    <row r="10" spans="1:6" ht="14.45">
      <c r="A10" s="4"/>
    </row>
    <row r="11" spans="1:6" ht="14.45">
      <c r="A11" s="5" t="s">
        <v>49</v>
      </c>
    </row>
    <row r="12" spans="1:6" ht="14.45">
      <c r="A12" s="4" t="s">
        <v>38</v>
      </c>
      <c r="B12" s="74">
        <f>SUM('Detailed CFS'!D12:O12)</f>
        <v>-4299088.8</v>
      </c>
      <c r="C12" s="74">
        <f>SUM('Detailed CFS'!P12:AA12)</f>
        <v>-6251738.9774718313</v>
      </c>
      <c r="D12" s="74">
        <f>SUM('Detailed CFS'!AB12:AM12)</f>
        <v>-17747323.394551758</v>
      </c>
      <c r="E12" s="74">
        <f>'Detailed CFS'!AO12</f>
        <v>-162828484.74769199</v>
      </c>
      <c r="F12" s="74">
        <f>'Detailed CFS'!AP12</f>
        <v>-268612126.66397369</v>
      </c>
    </row>
    <row r="13" spans="1:6" ht="14.45">
      <c r="A13" s="4" t="s">
        <v>50</v>
      </c>
      <c r="B13" s="74">
        <f>SUM('Detailed CFS'!D13:O13)</f>
        <v>0</v>
      </c>
      <c r="C13" s="74">
        <f>SUM('Detailed CFS'!P13:AA13)</f>
        <v>0</v>
      </c>
      <c r="D13" s="74">
        <f>SUM('Detailed CFS'!AB13:AM13)</f>
        <v>0</v>
      </c>
      <c r="E13" s="74">
        <f>'Detailed CFS'!AO13</f>
        <v>0</v>
      </c>
      <c r="F13" s="74">
        <f>'Detailed CFS'!AP13</f>
        <v>0</v>
      </c>
    </row>
    <row r="14" spans="1:6" ht="14.45">
      <c r="A14" s="4" t="s">
        <v>44</v>
      </c>
      <c r="B14" s="74">
        <f>SUM('Detailed CFS'!D14:O14)</f>
        <v>5012032.0895066671</v>
      </c>
      <c r="C14" s="74">
        <f>SUM('Detailed CFS'!P14:AA14)</f>
        <v>2298882.2655093577</v>
      </c>
      <c r="D14" s="74">
        <f>SUM('Detailed CFS'!AB14:AM14)</f>
        <v>9229752.6107087564</v>
      </c>
      <c r="E14" s="74">
        <f>'Detailed CFS'!AO14</f>
        <v>131658339.37375788</v>
      </c>
      <c r="F14" s="74">
        <f>'Detailed CFS'!AP14</f>
        <v>148645265.70725483</v>
      </c>
    </row>
    <row r="15" spans="1:6" ht="14.45">
      <c r="A15" s="4"/>
    </row>
    <row r="16" spans="1:6" ht="14.45">
      <c r="A16" s="5" t="s">
        <v>51</v>
      </c>
      <c r="B16" s="73">
        <f t="shared" ref="B16:F16" si="1">SUM(B9:B14)</f>
        <v>-11533146.232861333</v>
      </c>
      <c r="C16" s="73">
        <f t="shared" si="1"/>
        <v>8333865.3254534667</v>
      </c>
      <c r="D16" s="73">
        <f t="shared" si="1"/>
        <v>56298562.229307696</v>
      </c>
      <c r="E16" s="73">
        <f t="shared" si="1"/>
        <v>2120656.6948045045</v>
      </c>
      <c r="F16" s="73">
        <f t="shared" si="1"/>
        <v>4439070.2386088371</v>
      </c>
    </row>
    <row r="17" spans="1:6" ht="14.45">
      <c r="A17" s="4"/>
    </row>
    <row r="18" spans="1:6" ht="14.45">
      <c r="A18" s="4" t="s">
        <v>52</v>
      </c>
      <c r="B18" s="62">
        <f>SUM('Detailed CFS'!D18:O18)</f>
        <v>0</v>
      </c>
      <c r="C18" s="62">
        <f>SUM('Detailed CFS'!P18:AA18)</f>
        <v>0</v>
      </c>
      <c r="D18" s="62">
        <f>SUM('Detailed CFS'!AB18:AM18)</f>
        <v>0</v>
      </c>
      <c r="E18" s="62">
        <f>'Detailed CFS'!AO18</f>
        <v>0</v>
      </c>
      <c r="F18" s="62">
        <f>'Detailed CFS'!AP18</f>
        <v>0</v>
      </c>
    </row>
    <row r="19" spans="1:6" ht="14.45">
      <c r="A19" s="4"/>
    </row>
    <row r="20" spans="1:6" ht="14.45">
      <c r="A20" s="4" t="s">
        <v>53</v>
      </c>
    </row>
    <row r="21" spans="1:6" ht="14.45">
      <c r="A21" s="4"/>
    </row>
    <row r="22" spans="1:6" ht="14.45">
      <c r="A22" s="4" t="s">
        <v>54</v>
      </c>
      <c r="B22" s="73">
        <f>SUM('Detailed CFS'!D22:O22)</f>
        <v>8160000</v>
      </c>
      <c r="C22" s="73">
        <f>SUM('Detailed CFS'!P22:AA22)</f>
        <v>10296000</v>
      </c>
      <c r="D22" s="73">
        <f>SUM('Detailed CFS'!AB22:AM22)</f>
        <v>11325600.000000002</v>
      </c>
      <c r="E22" s="73">
        <f>'Detailed CFS'!AO22</f>
        <v>-2440040</v>
      </c>
      <c r="F22" s="73">
        <f>'Detailed CFS'!AP22</f>
        <v>13703976.000000002</v>
      </c>
    </row>
    <row r="23" spans="1:6" ht="14.45">
      <c r="A23" s="4"/>
    </row>
    <row r="24" spans="1:6" ht="14.45">
      <c r="A24" s="4" t="s">
        <v>55</v>
      </c>
    </row>
    <row r="25" spans="1:6" ht="14.45">
      <c r="A25" s="4"/>
    </row>
    <row r="26" spans="1:6" ht="14.45">
      <c r="A26" s="4" t="s">
        <v>56</v>
      </c>
      <c r="B26" s="74">
        <f>'Detailed CFS'!O26</f>
        <v>-18149573.902106669</v>
      </c>
      <c r="C26" s="74">
        <f>'Detailed CFS'!AA26</f>
        <v>-19938467.811829619</v>
      </c>
      <c r="D26" s="74">
        <f>'Detailed CFS'!AM26</f>
        <v>30855237.121285684</v>
      </c>
      <c r="E26" s="74">
        <f>'Detailed CFS'!AO26</f>
        <v>23317681.321899824</v>
      </c>
      <c r="F26" s="74">
        <f>'Detailed CFS'!AP26</f>
        <v>27878378.016704328</v>
      </c>
    </row>
    <row r="27" spans="1:6" ht="14.45">
      <c r="A27" s="4" t="s">
        <v>57</v>
      </c>
      <c r="B27" s="74">
        <f>'Detailed CFS'!O27</f>
        <v>-1543572.3307546666</v>
      </c>
      <c r="C27" s="74">
        <f>'Detailed CFS'!AA27</f>
        <v>-1716813.0955782488</v>
      </c>
      <c r="D27" s="74">
        <f>'Detailed CFS'!AM27</f>
        <v>-7537555.7993858596</v>
      </c>
      <c r="E27" s="74">
        <f>'Detailed CFS'!AO27</f>
        <v>4560696.6948045045</v>
      </c>
      <c r="F27" s="74">
        <f>'Detailed CFS'!AP27</f>
        <v>-9264905.7613911647</v>
      </c>
    </row>
    <row r="28" spans="1:6" ht="14.45">
      <c r="A28" s="4" t="s">
        <v>58</v>
      </c>
      <c r="B28" s="74">
        <f t="shared" ref="B28:F28" si="2">SUM(B26:B27)</f>
        <v>-19693146.232861336</v>
      </c>
      <c r="C28" s="74">
        <f t="shared" si="2"/>
        <v>-21655280.907407869</v>
      </c>
      <c r="D28" s="74">
        <f t="shared" si="2"/>
        <v>23317681.321899824</v>
      </c>
      <c r="E28" s="74">
        <f t="shared" si="2"/>
        <v>27878378.016704328</v>
      </c>
      <c r="F28" s="74">
        <f t="shared" si="2"/>
        <v>18613472.255313165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00"/>
  <sheetViews>
    <sheetView showGridLines="0" workbookViewId="0">
      <pane xSplit="2" ySplit="7" topLeftCell="N8" activePane="bottomRight" state="frozen"/>
      <selection pane="bottomRight" activeCell="A8" sqref="A8:A10"/>
      <selection pane="bottomLeft" activeCell="A8" sqref="A8"/>
      <selection pane="topRight" activeCell="C1" sqref="C1"/>
    </sheetView>
  </sheetViews>
  <sheetFormatPr defaultColWidth="14.42578125" defaultRowHeight="15" customHeight="1"/>
  <cols>
    <col min="1" max="1" width="24.42578125" customWidth="1"/>
    <col min="2" max="2" width="20.140625" customWidth="1"/>
    <col min="3" max="3" width="4.42578125" customWidth="1"/>
    <col min="4" max="4" width="12.42578125" customWidth="1"/>
    <col min="5" max="40" width="10.5703125" customWidth="1"/>
    <col min="41" max="41" width="13.42578125" customWidth="1"/>
    <col min="42" max="42" width="12.42578125" customWidth="1"/>
    <col min="43" max="43" width="10.5703125" customWidth="1"/>
  </cols>
  <sheetData>
    <row r="1" spans="1:43" ht="21">
      <c r="A1" s="1" t="s">
        <v>0</v>
      </c>
      <c r="B1" s="4"/>
    </row>
    <row r="2" spans="1:43" ht="18.600000000000001">
      <c r="A2" s="2" t="s">
        <v>59</v>
      </c>
      <c r="B2" s="4"/>
    </row>
    <row r="3" spans="1:43" ht="14.45">
      <c r="A3" s="3" t="s">
        <v>2</v>
      </c>
      <c r="B3" s="4"/>
    </row>
    <row r="4" spans="1:43" ht="14.45">
      <c r="A4" s="4"/>
      <c r="B4" s="4"/>
    </row>
    <row r="5" spans="1:43" ht="14.45">
      <c r="A5" s="4"/>
      <c r="B5" s="4"/>
    </row>
    <row r="6" spans="1:43" ht="15.6">
      <c r="A6" s="75" t="s">
        <v>3</v>
      </c>
      <c r="B6" s="75" t="s">
        <v>60</v>
      </c>
      <c r="D6" s="76">
        <v>45383</v>
      </c>
      <c r="E6" s="76">
        <v>45413</v>
      </c>
      <c r="F6" s="76">
        <v>45444</v>
      </c>
      <c r="G6" s="76">
        <v>45474</v>
      </c>
      <c r="H6" s="76">
        <v>45505</v>
      </c>
      <c r="I6" s="76">
        <v>45536</v>
      </c>
      <c r="J6" s="76">
        <v>45566</v>
      </c>
      <c r="K6" s="76">
        <v>45597</v>
      </c>
      <c r="L6" s="76">
        <v>45627</v>
      </c>
      <c r="M6" s="76">
        <v>45658</v>
      </c>
      <c r="N6" s="76">
        <v>45689</v>
      </c>
      <c r="O6" s="76">
        <v>45717</v>
      </c>
      <c r="P6" s="76">
        <v>45748</v>
      </c>
      <c r="Q6" s="76">
        <v>45778</v>
      </c>
      <c r="R6" s="76">
        <v>45809</v>
      </c>
      <c r="S6" s="76">
        <v>45839</v>
      </c>
      <c r="T6" s="76">
        <v>45870</v>
      </c>
      <c r="U6" s="76">
        <v>45901</v>
      </c>
      <c r="V6" s="76">
        <v>45931</v>
      </c>
      <c r="W6" s="76">
        <v>45962</v>
      </c>
      <c r="X6" s="76">
        <v>45992</v>
      </c>
      <c r="Y6" s="76">
        <v>46023</v>
      </c>
      <c r="Z6" s="76">
        <v>46054</v>
      </c>
      <c r="AA6" s="76">
        <v>46082</v>
      </c>
      <c r="AB6" s="76">
        <v>46113</v>
      </c>
      <c r="AC6" s="76">
        <v>46143</v>
      </c>
      <c r="AD6" s="76">
        <v>46174</v>
      </c>
      <c r="AE6" s="76">
        <v>46204</v>
      </c>
      <c r="AF6" s="76">
        <v>46235</v>
      </c>
      <c r="AG6" s="76">
        <v>46266</v>
      </c>
      <c r="AH6" s="76">
        <v>46296</v>
      </c>
      <c r="AI6" s="76">
        <v>46327</v>
      </c>
      <c r="AJ6" s="76">
        <v>46357</v>
      </c>
      <c r="AK6" s="76">
        <v>46388</v>
      </c>
      <c r="AL6" s="76">
        <v>46419</v>
      </c>
      <c r="AM6" s="76">
        <v>46447</v>
      </c>
      <c r="AO6" s="76" t="s">
        <v>7</v>
      </c>
      <c r="AP6" s="76" t="s">
        <v>8</v>
      </c>
    </row>
    <row r="7" spans="1:43" ht="14.45">
      <c r="A7" s="6" t="s">
        <v>9</v>
      </c>
      <c r="B7" s="4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</row>
    <row r="8" spans="1:43" ht="14.45">
      <c r="A8" s="4" t="s">
        <v>10</v>
      </c>
      <c r="B8" s="4" t="s">
        <v>61</v>
      </c>
      <c r="D8" s="7">
        <f>'Revenue Buildup'!E14</f>
        <v>1500000</v>
      </c>
      <c r="E8" s="7">
        <f>'Revenue Buildup'!F14</f>
        <v>1500000</v>
      </c>
      <c r="F8" s="7">
        <f>'Revenue Buildup'!G14</f>
        <v>1500000</v>
      </c>
      <c r="G8" s="7">
        <f>'Revenue Buildup'!H14</f>
        <v>1700000</v>
      </c>
      <c r="H8" s="7">
        <f>'Revenue Buildup'!I14</f>
        <v>3200000</v>
      </c>
      <c r="I8" s="7">
        <f>'Revenue Buildup'!J14</f>
        <v>1700000</v>
      </c>
      <c r="J8" s="7">
        <f>'Revenue Buildup'!K14</f>
        <v>3400000</v>
      </c>
      <c r="K8" s="7">
        <f>'Revenue Buildup'!L14</f>
        <v>3400000</v>
      </c>
      <c r="L8" s="7">
        <f>'Revenue Buildup'!M14</f>
        <v>1900000</v>
      </c>
      <c r="M8" s="7">
        <f>'Revenue Buildup'!N14</f>
        <v>3600000</v>
      </c>
      <c r="N8" s="7">
        <f>'Revenue Buildup'!O14</f>
        <v>3600000</v>
      </c>
      <c r="O8" s="7">
        <f>'Revenue Buildup'!P14</f>
        <v>3600000</v>
      </c>
      <c r="P8" s="7">
        <f>'Revenue Buildup'!Q14</f>
        <v>3780000</v>
      </c>
      <c r="Q8" s="7">
        <f>'Revenue Buildup'!R14</f>
        <v>5355000</v>
      </c>
      <c r="R8" s="7">
        <f>'Revenue Buildup'!S14</f>
        <v>2205000</v>
      </c>
      <c r="S8" s="7">
        <f>'Revenue Buildup'!T14</f>
        <v>3990000</v>
      </c>
      <c r="T8" s="7">
        <f>'Revenue Buildup'!U14</f>
        <v>3990000</v>
      </c>
      <c r="U8" s="7">
        <f>'Revenue Buildup'!V14</f>
        <v>3990000</v>
      </c>
      <c r="V8" s="7">
        <f>'Revenue Buildup'!W14</f>
        <v>4200000</v>
      </c>
      <c r="W8" s="7">
        <f>'Revenue Buildup'!X14</f>
        <v>4200000</v>
      </c>
      <c r="X8" s="7">
        <f>'Revenue Buildup'!Y14</f>
        <v>5775000</v>
      </c>
      <c r="Y8" s="7">
        <f>'Revenue Buildup'!Z14</f>
        <v>6195000</v>
      </c>
      <c r="Z8" s="7">
        <f>'Revenue Buildup'!AA14</f>
        <v>4620000</v>
      </c>
      <c r="AA8" s="7">
        <f>'Revenue Buildup'!AB14</f>
        <v>6195000</v>
      </c>
      <c r="AB8" s="7">
        <f>'Revenue Buildup'!AC14</f>
        <v>6945750</v>
      </c>
      <c r="AC8" s="7">
        <f>'Revenue Buildup'!AD14</f>
        <v>5292000</v>
      </c>
      <c r="AD8" s="7">
        <f>'Revenue Buildup'!AE14</f>
        <v>6945750</v>
      </c>
      <c r="AE8" s="7">
        <f>'Revenue Buildup'!AF14</f>
        <v>7386750</v>
      </c>
      <c r="AF8" s="7">
        <f>'Revenue Buildup'!AG14</f>
        <v>5733000</v>
      </c>
      <c r="AG8" s="7">
        <f>'Revenue Buildup'!AH14</f>
        <v>7386750</v>
      </c>
      <c r="AH8" s="7">
        <f>'Revenue Buildup'!AI14</f>
        <v>7607250</v>
      </c>
      <c r="AI8" s="7">
        <f>'Revenue Buildup'!AJ14</f>
        <v>7607250</v>
      </c>
      <c r="AJ8" s="7">
        <f>'Revenue Buildup'!AK14</f>
        <v>5953500</v>
      </c>
      <c r="AK8" s="7">
        <f>'Revenue Buildup'!AL14</f>
        <v>8048250</v>
      </c>
      <c r="AL8" s="7">
        <f>'Revenue Buildup'!AM14</f>
        <v>8048250</v>
      </c>
      <c r="AM8" s="7">
        <f>'Revenue Buildup'!AN14</f>
        <v>8048250</v>
      </c>
      <c r="AN8" s="7"/>
      <c r="AO8" s="7">
        <f>'Revenue Buildup'!AS14</f>
        <v>122592487.5</v>
      </c>
      <c r="AP8" s="7">
        <f>'Revenue Buildup'!AT14</f>
        <v>171021729.375</v>
      </c>
    </row>
    <row r="9" spans="1:43" ht="14.45">
      <c r="A9" s="4" t="s">
        <v>11</v>
      </c>
      <c r="B9" s="4" t="s">
        <v>61</v>
      </c>
      <c r="D9" s="7">
        <f>'Revenue Buildup'!E22</f>
        <v>0</v>
      </c>
      <c r="E9" s="7">
        <f>'Revenue Buildup'!F22</f>
        <v>49000</v>
      </c>
      <c r="F9" s="7">
        <f>'Revenue Buildup'!G22</f>
        <v>84000</v>
      </c>
      <c r="G9" s="7">
        <f>'Revenue Buildup'!H22</f>
        <v>122500</v>
      </c>
      <c r="H9" s="7">
        <f>'Revenue Buildup'!I22</f>
        <v>164500</v>
      </c>
      <c r="I9" s="7">
        <f>'Revenue Buildup'!J22</f>
        <v>210000</v>
      </c>
      <c r="J9" s="7">
        <f>'Revenue Buildup'!K22</f>
        <v>266000</v>
      </c>
      <c r="K9" s="7">
        <f>'Revenue Buildup'!L22</f>
        <v>329000</v>
      </c>
      <c r="L9" s="7">
        <f>'Revenue Buildup'!M22</f>
        <v>399000</v>
      </c>
      <c r="M9" s="7">
        <f>'Revenue Buildup'!N22</f>
        <v>486500</v>
      </c>
      <c r="N9" s="7">
        <f>'Revenue Buildup'!O22</f>
        <v>581000</v>
      </c>
      <c r="O9" s="7">
        <f>'Revenue Buildup'!P22</f>
        <v>682500</v>
      </c>
      <c r="P9" s="7">
        <f>'Revenue Buildup'!Q22</f>
        <v>705600</v>
      </c>
      <c r="Q9" s="7">
        <f>'Revenue Buildup'!R22</f>
        <v>856275</v>
      </c>
      <c r="R9" s="7">
        <f>'Revenue Buildup'!S22</f>
        <v>1021650</v>
      </c>
      <c r="S9" s="7">
        <f>'Revenue Buildup'!T22</f>
        <v>1220100</v>
      </c>
      <c r="T9" s="7">
        <f>'Revenue Buildup'!U22</f>
        <v>1444275</v>
      </c>
      <c r="U9" s="7">
        <f>'Revenue Buildup'!V22</f>
        <v>1690500</v>
      </c>
      <c r="V9" s="7">
        <f>'Revenue Buildup'!W22</f>
        <v>1984500</v>
      </c>
      <c r="W9" s="7">
        <f>'Revenue Buildup'!X22</f>
        <v>2322600</v>
      </c>
      <c r="X9" s="7">
        <f>'Revenue Buildup'!Y22</f>
        <v>2693775</v>
      </c>
      <c r="Y9" s="7">
        <f>'Revenue Buildup'!Z22</f>
        <v>3142125</v>
      </c>
      <c r="Z9" s="7">
        <f>'Revenue Buildup'!AA22</f>
        <v>3645600</v>
      </c>
      <c r="AA9" s="7">
        <f>'Revenue Buildup'!AB22</f>
        <v>4200525</v>
      </c>
      <c r="AB9" s="7">
        <f>'Revenue Buildup'!AC22</f>
        <v>4225331.25</v>
      </c>
      <c r="AC9" s="7">
        <f>'Revenue Buildup'!AD22</f>
        <v>5016375</v>
      </c>
      <c r="AD9" s="7">
        <f>'Revenue Buildup'!AE22</f>
        <v>5903887.5</v>
      </c>
      <c r="AE9" s="7">
        <f>'Revenue Buildup'!AF22</f>
        <v>6907162.5</v>
      </c>
      <c r="AF9" s="7">
        <f>'Revenue Buildup'!AG22</f>
        <v>8095657.5</v>
      </c>
      <c r="AG9" s="7">
        <f>'Revenue Buildup'!AH22</f>
        <v>9465513.75</v>
      </c>
      <c r="AH9" s="7">
        <f>'Revenue Buildup'!AI22</f>
        <v>11009013.75</v>
      </c>
      <c r="AI9" s="7">
        <f>'Revenue Buildup'!AJ22</f>
        <v>12784038.75</v>
      </c>
      <c r="AJ9" s="7">
        <f>'Revenue Buildup'!AK22</f>
        <v>14806023.75</v>
      </c>
      <c r="AK9" s="7">
        <f>'Revenue Buildup'!AL22</f>
        <v>17260188.75</v>
      </c>
      <c r="AL9" s="7">
        <f>'Revenue Buildup'!AM22</f>
        <v>19922726.25</v>
      </c>
      <c r="AM9" s="7">
        <f>'Revenue Buildup'!AN22</f>
        <v>18795971.25</v>
      </c>
      <c r="AN9" s="7"/>
      <c r="AO9" s="7">
        <f>'Revenue Buildup'!AS22</f>
        <v>58368610.125</v>
      </c>
      <c r="AP9" s="7">
        <f>'Revenue Buildup'!AT22</f>
        <v>275374764.19687504</v>
      </c>
    </row>
    <row r="10" spans="1:43" ht="14.45">
      <c r="A10" s="4" t="s">
        <v>12</v>
      </c>
      <c r="B10" s="4" t="s">
        <v>61</v>
      </c>
      <c r="D10" s="7">
        <f>'Revenue Buildup'!E29</f>
        <v>0</v>
      </c>
      <c r="E10" s="7">
        <f>'Revenue Buildup'!F29</f>
        <v>0</v>
      </c>
      <c r="F10" s="7">
        <f>'Revenue Buildup'!G29</f>
        <v>0</v>
      </c>
      <c r="G10" s="7">
        <f>'Revenue Buildup'!H29</f>
        <v>0</v>
      </c>
      <c r="H10" s="7">
        <f>'Revenue Buildup'!I29</f>
        <v>0</v>
      </c>
      <c r="I10" s="7">
        <f>'Revenue Buildup'!J29</f>
        <v>0</v>
      </c>
      <c r="J10" s="7">
        <f>'Revenue Buildup'!K29</f>
        <v>0</v>
      </c>
      <c r="K10" s="7">
        <f>'Revenue Buildup'!L29</f>
        <v>8000</v>
      </c>
      <c r="L10" s="7">
        <f>'Revenue Buildup'!M29</f>
        <v>9600</v>
      </c>
      <c r="M10" s="7">
        <f>'Revenue Buildup'!N29</f>
        <v>11520</v>
      </c>
      <c r="N10" s="7">
        <f>'Revenue Buildup'!O29</f>
        <v>13823.999999999998</v>
      </c>
      <c r="O10" s="7">
        <f>'Revenue Buildup'!P29</f>
        <v>16588.8</v>
      </c>
      <c r="P10" s="7">
        <f>'Revenue Buildup'!Q29</f>
        <v>20901.887999999995</v>
      </c>
      <c r="Q10" s="7">
        <f>'Revenue Buildup'!R29</f>
        <v>25082.265599999999</v>
      </c>
      <c r="R10" s="7">
        <f>'Revenue Buildup'!S29</f>
        <v>30098.718719999997</v>
      </c>
      <c r="S10" s="7">
        <f>'Revenue Buildup'!T29</f>
        <v>36118.462463999997</v>
      </c>
      <c r="T10" s="7">
        <f>'Revenue Buildup'!U29</f>
        <v>43342.15495679999</v>
      </c>
      <c r="U10" s="7">
        <f>'Revenue Buildup'!V29</f>
        <v>52010.585948159984</v>
      </c>
      <c r="V10" s="7">
        <f>'Revenue Buildup'!W29</f>
        <v>62412.703137791985</v>
      </c>
      <c r="W10" s="7">
        <f>'Revenue Buildup'!X29</f>
        <v>74895.243765350373</v>
      </c>
      <c r="X10" s="7">
        <f>'Revenue Buildup'!Y29</f>
        <v>89874.292518420451</v>
      </c>
      <c r="Y10" s="7">
        <f>'Revenue Buildup'!Z29</f>
        <v>107849.15102210453</v>
      </c>
      <c r="Z10" s="7">
        <f>'Revenue Buildup'!AA29</f>
        <v>129418.98122652544</v>
      </c>
      <c r="AA10" s="7">
        <f>'Revenue Buildup'!AB29</f>
        <v>155302.77747183054</v>
      </c>
      <c r="AB10" s="7">
        <f>'Revenue Buildup'!AC29</f>
        <v>195681.49961450649</v>
      </c>
      <c r="AC10" s="7">
        <f>'Revenue Buildup'!AD29</f>
        <v>234817.79953740779</v>
      </c>
      <c r="AD10" s="7">
        <f>'Revenue Buildup'!AE29</f>
        <v>281781.35944488936</v>
      </c>
      <c r="AE10" s="7">
        <f>'Revenue Buildup'!AF29</f>
        <v>338137.63133386715</v>
      </c>
      <c r="AF10" s="7">
        <f>'Revenue Buildup'!AG29</f>
        <v>405765.15760064055</v>
      </c>
      <c r="AG10" s="7">
        <f>'Revenue Buildup'!AH29</f>
        <v>486918.18912076863</v>
      </c>
      <c r="AH10" s="7">
        <f>'Revenue Buildup'!AI29</f>
        <v>584301.82694492245</v>
      </c>
      <c r="AI10" s="7">
        <f>'Revenue Buildup'!AJ29</f>
        <v>701162.19233390689</v>
      </c>
      <c r="AJ10" s="7">
        <f>'Revenue Buildup'!AK29</f>
        <v>841394.63080068817</v>
      </c>
      <c r="AK10" s="7">
        <f>'Revenue Buildup'!AL29</f>
        <v>1009673.5569608258</v>
      </c>
      <c r="AL10" s="7">
        <f>'Revenue Buildup'!AM29</f>
        <v>1211608.268352991</v>
      </c>
      <c r="AM10" s="7">
        <f>'Revenue Buildup'!AN29</f>
        <v>1453929.9220235893</v>
      </c>
      <c r="AN10" s="7"/>
      <c r="AO10" s="7">
        <f>'Revenue Buildup'!AS29</f>
        <v>10165538.294715568</v>
      </c>
      <c r="AP10" s="7">
        <f>'Revenue Buildup'!AT29</f>
        <v>13342269.011814183</v>
      </c>
    </row>
    <row r="11" spans="1:43" ht="14.45">
      <c r="A11" s="4"/>
      <c r="B11" s="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4.45">
      <c r="A12" s="4" t="s">
        <v>13</v>
      </c>
      <c r="B12" s="4"/>
      <c r="D12" s="7">
        <f t="shared" ref="D12:AM12" si="0">SUM(D8:D10)</f>
        <v>1500000</v>
      </c>
      <c r="E12" s="7">
        <f t="shared" si="0"/>
        <v>1549000</v>
      </c>
      <c r="F12" s="7">
        <f t="shared" si="0"/>
        <v>1584000</v>
      </c>
      <c r="G12" s="7">
        <f t="shared" si="0"/>
        <v>1822500</v>
      </c>
      <c r="H12" s="7">
        <f t="shared" si="0"/>
        <v>3364500</v>
      </c>
      <c r="I12" s="7">
        <f t="shared" si="0"/>
        <v>1910000</v>
      </c>
      <c r="J12" s="7">
        <f t="shared" si="0"/>
        <v>3666000</v>
      </c>
      <c r="K12" s="7">
        <f t="shared" si="0"/>
        <v>3737000</v>
      </c>
      <c r="L12" s="7">
        <f t="shared" si="0"/>
        <v>2308600</v>
      </c>
      <c r="M12" s="7">
        <f t="shared" si="0"/>
        <v>4098020</v>
      </c>
      <c r="N12" s="7">
        <f t="shared" si="0"/>
        <v>4194824</v>
      </c>
      <c r="O12" s="7">
        <f t="shared" si="0"/>
        <v>4299088.8</v>
      </c>
      <c r="P12" s="7">
        <f t="shared" si="0"/>
        <v>4506501.8880000003</v>
      </c>
      <c r="Q12" s="7">
        <f t="shared" si="0"/>
        <v>6236357.2655999996</v>
      </c>
      <c r="R12" s="7">
        <f t="shared" si="0"/>
        <v>3256748.7187199998</v>
      </c>
      <c r="S12" s="7">
        <f t="shared" si="0"/>
        <v>5246218.4624640001</v>
      </c>
      <c r="T12" s="7">
        <f t="shared" si="0"/>
        <v>5477617.1549567999</v>
      </c>
      <c r="U12" s="7">
        <f t="shared" si="0"/>
        <v>5732510.5859481599</v>
      </c>
      <c r="V12" s="7">
        <f t="shared" si="0"/>
        <v>6246912.7031377917</v>
      </c>
      <c r="W12" s="7">
        <f t="shared" si="0"/>
        <v>6597495.2437653504</v>
      </c>
      <c r="X12" s="7">
        <f t="shared" si="0"/>
        <v>8558649.2925184201</v>
      </c>
      <c r="Y12" s="7">
        <f t="shared" si="0"/>
        <v>9444974.1510221045</v>
      </c>
      <c r="Z12" s="7">
        <f t="shared" si="0"/>
        <v>8395018.9812265262</v>
      </c>
      <c r="AA12" s="7">
        <f t="shared" si="0"/>
        <v>10550827.777471831</v>
      </c>
      <c r="AB12" s="7">
        <f t="shared" si="0"/>
        <v>11366762.749614507</v>
      </c>
      <c r="AC12" s="7">
        <f t="shared" si="0"/>
        <v>10543192.799537407</v>
      </c>
      <c r="AD12" s="7">
        <f t="shared" si="0"/>
        <v>13131418.85944489</v>
      </c>
      <c r="AE12" s="7">
        <f t="shared" si="0"/>
        <v>14632050.131333867</v>
      </c>
      <c r="AF12" s="7">
        <f t="shared" si="0"/>
        <v>14234422.657600641</v>
      </c>
      <c r="AG12" s="7">
        <f t="shared" si="0"/>
        <v>17339181.93912077</v>
      </c>
      <c r="AH12" s="7">
        <f t="shared" si="0"/>
        <v>19200565.576944921</v>
      </c>
      <c r="AI12" s="7">
        <f t="shared" si="0"/>
        <v>21092450.942333907</v>
      </c>
      <c r="AJ12" s="7">
        <f t="shared" si="0"/>
        <v>21600918.380800687</v>
      </c>
      <c r="AK12" s="7">
        <f t="shared" si="0"/>
        <v>26318112.306960825</v>
      </c>
      <c r="AL12" s="7">
        <f t="shared" si="0"/>
        <v>29182584.518352993</v>
      </c>
      <c r="AM12" s="7">
        <f t="shared" si="0"/>
        <v>28298151.172023591</v>
      </c>
      <c r="AN12" s="7"/>
      <c r="AO12" s="7">
        <f t="shared" ref="AO12:AP12" si="1">SUM(AO8:AO10)</f>
        <v>191126635.91971558</v>
      </c>
      <c r="AP12" s="7">
        <f t="shared" si="1"/>
        <v>459738762.58368921</v>
      </c>
    </row>
    <row r="13" spans="1:43" ht="14.45">
      <c r="A13" s="4"/>
      <c r="B13" s="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3" ht="14.45">
      <c r="A14" s="4" t="s">
        <v>14</v>
      </c>
      <c r="B14" s="4"/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/>
      <c r="AO14" s="7">
        <v>0</v>
      </c>
      <c r="AP14" s="7">
        <v>0</v>
      </c>
      <c r="AQ14" s="7"/>
    </row>
    <row r="15" spans="1:43" ht="14.45">
      <c r="A15" s="4"/>
      <c r="B15" s="4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3" ht="14.45">
      <c r="A16" s="5" t="s">
        <v>15</v>
      </c>
      <c r="B16" s="4"/>
      <c r="D16" s="7">
        <f t="shared" ref="D16:AM16" si="2">D12+D14</f>
        <v>1500000</v>
      </c>
      <c r="E16" s="7">
        <f t="shared" si="2"/>
        <v>1549000</v>
      </c>
      <c r="F16" s="7">
        <f t="shared" si="2"/>
        <v>1584000</v>
      </c>
      <c r="G16" s="7">
        <f t="shared" si="2"/>
        <v>1822500</v>
      </c>
      <c r="H16" s="7">
        <f t="shared" si="2"/>
        <v>3364500</v>
      </c>
      <c r="I16" s="7">
        <f t="shared" si="2"/>
        <v>1910000</v>
      </c>
      <c r="J16" s="7">
        <f t="shared" si="2"/>
        <v>3666000</v>
      </c>
      <c r="K16" s="7">
        <f t="shared" si="2"/>
        <v>3737000</v>
      </c>
      <c r="L16" s="7">
        <f t="shared" si="2"/>
        <v>2308600</v>
      </c>
      <c r="M16" s="7">
        <f t="shared" si="2"/>
        <v>4098020</v>
      </c>
      <c r="N16" s="7">
        <f t="shared" si="2"/>
        <v>4194824</v>
      </c>
      <c r="O16" s="7">
        <f t="shared" si="2"/>
        <v>4299088.8</v>
      </c>
      <c r="P16" s="7">
        <f t="shared" si="2"/>
        <v>4506501.8880000003</v>
      </c>
      <c r="Q16" s="7">
        <f t="shared" si="2"/>
        <v>6236357.2655999996</v>
      </c>
      <c r="R16" s="7">
        <f t="shared" si="2"/>
        <v>3256748.7187199998</v>
      </c>
      <c r="S16" s="7">
        <f t="shared" si="2"/>
        <v>5246218.4624640001</v>
      </c>
      <c r="T16" s="7">
        <f t="shared" si="2"/>
        <v>5477617.1549567999</v>
      </c>
      <c r="U16" s="7">
        <f t="shared" si="2"/>
        <v>5732510.5859481599</v>
      </c>
      <c r="V16" s="7">
        <f t="shared" si="2"/>
        <v>6246912.7031377917</v>
      </c>
      <c r="W16" s="7">
        <f t="shared" si="2"/>
        <v>6597495.2437653504</v>
      </c>
      <c r="X16" s="7">
        <f t="shared" si="2"/>
        <v>8558649.2925184201</v>
      </c>
      <c r="Y16" s="7">
        <f t="shared" si="2"/>
        <v>9444974.1510221045</v>
      </c>
      <c r="Z16" s="7">
        <f t="shared" si="2"/>
        <v>8395018.9812265262</v>
      </c>
      <c r="AA16" s="7">
        <f t="shared" si="2"/>
        <v>10550827.777471831</v>
      </c>
      <c r="AB16" s="7">
        <f t="shared" si="2"/>
        <v>11366762.749614507</v>
      </c>
      <c r="AC16" s="7">
        <f t="shared" si="2"/>
        <v>10543192.799537407</v>
      </c>
      <c r="AD16" s="7">
        <f t="shared" si="2"/>
        <v>13131418.85944489</v>
      </c>
      <c r="AE16" s="7">
        <f t="shared" si="2"/>
        <v>14632050.131333867</v>
      </c>
      <c r="AF16" s="7">
        <f t="shared" si="2"/>
        <v>14234422.657600641</v>
      </c>
      <c r="AG16" s="7">
        <f t="shared" si="2"/>
        <v>17339181.93912077</v>
      </c>
      <c r="AH16" s="7">
        <f t="shared" si="2"/>
        <v>19200565.576944921</v>
      </c>
      <c r="AI16" s="7">
        <f t="shared" si="2"/>
        <v>21092450.942333907</v>
      </c>
      <c r="AJ16" s="7">
        <f t="shared" si="2"/>
        <v>21600918.380800687</v>
      </c>
      <c r="AK16" s="7">
        <f t="shared" si="2"/>
        <v>26318112.306960825</v>
      </c>
      <c r="AL16" s="7">
        <f t="shared" si="2"/>
        <v>29182584.518352993</v>
      </c>
      <c r="AM16" s="7">
        <f t="shared" si="2"/>
        <v>28298151.172023591</v>
      </c>
      <c r="AN16" s="7"/>
      <c r="AO16" s="7">
        <f t="shared" ref="AO16:AP16" si="3">AO12+AO14</f>
        <v>191126635.91971558</v>
      </c>
      <c r="AP16" s="7">
        <f t="shared" si="3"/>
        <v>459738762.58368921</v>
      </c>
    </row>
    <row r="17" spans="1:42" ht="14.45">
      <c r="A17" s="4"/>
      <c r="B17" s="4"/>
    </row>
    <row r="18" spans="1:42" ht="14.45">
      <c r="A18" s="5" t="s">
        <v>16</v>
      </c>
      <c r="B18" s="4"/>
    </row>
    <row r="19" spans="1:42" ht="14.45">
      <c r="A19" s="4" t="s">
        <v>17</v>
      </c>
      <c r="B19" s="4" t="s">
        <v>62</v>
      </c>
      <c r="D19" s="7">
        <f>'COGS Buildup'!K8</f>
        <v>600000</v>
      </c>
      <c r="E19" s="7">
        <f>'COGS Buildup'!L8</f>
        <v>600000</v>
      </c>
      <c r="F19" s="7">
        <f>'COGS Buildup'!M8</f>
        <v>600000</v>
      </c>
      <c r="G19" s="7">
        <f>'COGS Buildup'!N8</f>
        <v>1410000</v>
      </c>
      <c r="H19" s="7">
        <f>'COGS Buildup'!O8</f>
        <v>1410000</v>
      </c>
      <c r="I19" s="7">
        <f>'COGS Buildup'!P8</f>
        <v>1880000</v>
      </c>
      <c r="J19" s="7">
        <f>'COGS Buildup'!Q8</f>
        <v>1880000</v>
      </c>
      <c r="K19" s="7">
        <f>'COGS Buildup'!R8</f>
        <v>2350000</v>
      </c>
      <c r="L19" s="7">
        <f>'COGS Buildup'!S8</f>
        <v>2350000</v>
      </c>
      <c r="M19" s="7">
        <f>'COGS Buildup'!T8</f>
        <v>2350000</v>
      </c>
      <c r="N19" s="7">
        <f>'COGS Buildup'!U8</f>
        <v>2350000</v>
      </c>
      <c r="O19" s="7">
        <f>'COGS Buildup'!V8</f>
        <v>2350000</v>
      </c>
      <c r="P19" s="7">
        <f>'COGS Buildup'!W8</f>
        <v>1606000</v>
      </c>
      <c r="Q19" s="7">
        <f>'COGS Buildup'!X8</f>
        <v>1606000</v>
      </c>
      <c r="R19" s="7">
        <f>'COGS Buildup'!Y8</f>
        <v>1947000.0000000002</v>
      </c>
      <c r="S19" s="7">
        <f>'COGS Buildup'!Z8</f>
        <v>1606000</v>
      </c>
      <c r="T19" s="7">
        <f>'COGS Buildup'!AA8</f>
        <v>1606000</v>
      </c>
      <c r="U19" s="7">
        <f>'COGS Buildup'!AB8</f>
        <v>1397000</v>
      </c>
      <c r="V19" s="7">
        <f>'COGS Buildup'!AC8</f>
        <v>1606000</v>
      </c>
      <c r="W19" s="7">
        <f>'COGS Buildup'!AD8</f>
        <v>1606000</v>
      </c>
      <c r="X19" s="7">
        <f>'COGS Buildup'!AE8</f>
        <v>1606000</v>
      </c>
      <c r="Y19" s="7">
        <f>'COGS Buildup'!AF8</f>
        <v>1947000.0000000002</v>
      </c>
      <c r="Z19" s="7">
        <f>'COGS Buildup'!AG8</f>
        <v>2156000</v>
      </c>
      <c r="AA19" s="7">
        <f>'COGS Buildup'!AH8</f>
        <v>2156000</v>
      </c>
      <c r="AB19" s="7">
        <f>'COGS Buildup'!AI8</f>
        <v>2371600.0000000005</v>
      </c>
      <c r="AC19" s="7">
        <f>'COGS Buildup'!AJ8</f>
        <v>2371600.0000000005</v>
      </c>
      <c r="AD19" s="7">
        <f>'COGS Buildup'!AK8</f>
        <v>2371600.0000000005</v>
      </c>
      <c r="AE19" s="7">
        <f>'COGS Buildup'!AL8</f>
        <v>2371600.0000000005</v>
      </c>
      <c r="AF19" s="7">
        <f>'COGS Buildup'!AM8</f>
        <v>2371600.0000000005</v>
      </c>
      <c r="AG19" s="7">
        <f>'COGS Buildup'!AN8</f>
        <v>2371600.0000000005</v>
      </c>
      <c r="AH19" s="7">
        <f>'COGS Buildup'!AO8</f>
        <v>2371600.0000000005</v>
      </c>
      <c r="AI19" s="7">
        <f>'COGS Buildup'!AP8</f>
        <v>2371600.0000000005</v>
      </c>
      <c r="AJ19" s="7">
        <f>'COGS Buildup'!AQ8</f>
        <v>2722500.0000000005</v>
      </c>
      <c r="AK19" s="7">
        <f>'COGS Buildup'!AR8</f>
        <v>2371600.0000000005</v>
      </c>
      <c r="AL19" s="7">
        <f>'COGS Buildup'!AS8</f>
        <v>2371600.0000000005</v>
      </c>
      <c r="AM19" s="7">
        <f>'COGS Buildup'!AT8</f>
        <v>2371600.0000000005</v>
      </c>
      <c r="AN19" s="7">
        <f>'COGS Buildup'!AU8</f>
        <v>0</v>
      </c>
      <c r="AO19" s="7">
        <f>'COGS Buildup'!AV8</f>
        <v>56700600.000000015</v>
      </c>
      <c r="AP19" s="7">
        <f>'COGS Buildup'!AW8</f>
        <v>79588476.00000003</v>
      </c>
    </row>
    <row r="20" spans="1:42" ht="14.45">
      <c r="A20" s="4" t="s">
        <v>18</v>
      </c>
      <c r="B20" s="4" t="s">
        <v>62</v>
      </c>
      <c r="D20" s="7">
        <f>'COGS Buildup'!K26</f>
        <v>263410</v>
      </c>
      <c r="E20" s="7">
        <f>'COGS Buildup'!L26</f>
        <v>283010</v>
      </c>
      <c r="F20" s="7">
        <f>'COGS Buildup'!M26</f>
        <v>297010</v>
      </c>
      <c r="G20" s="7">
        <f>'COGS Buildup'!N26</f>
        <v>357375</v>
      </c>
      <c r="H20" s="7">
        <f>'COGS Buildup'!O26</f>
        <v>524175</v>
      </c>
      <c r="I20" s="7">
        <f>'COGS Buildup'!P26</f>
        <v>417943.33333333331</v>
      </c>
      <c r="J20" s="7">
        <f>'COGS Buildup'!Q26</f>
        <v>595633.33333333326</v>
      </c>
      <c r="K20" s="7">
        <f>'COGS Buildup'!R26</f>
        <v>668271.66666666674</v>
      </c>
      <c r="L20" s="7">
        <f>'COGS Buildup'!S26</f>
        <v>547471.66666666674</v>
      </c>
      <c r="M20" s="7">
        <f>'COGS Buildup'!T26</f>
        <v>733911.66666666674</v>
      </c>
      <c r="N20" s="7">
        <f>'COGS Buildup'!U26</f>
        <v>773439.66666666674</v>
      </c>
      <c r="O20" s="7">
        <f>'COGS Buildup'!V26</f>
        <v>816113.2666666666</v>
      </c>
      <c r="P20" s="7">
        <f>'COGS Buildup'!W26</f>
        <v>813278.81599999988</v>
      </c>
      <c r="Q20" s="7">
        <f>'COGS Buildup'!X26</f>
        <v>1034184.0991999999</v>
      </c>
      <c r="R20" s="7">
        <f>'COGS Buildup'!Y26</f>
        <v>806556.43903999985</v>
      </c>
      <c r="S20" s="7">
        <f>'COGS Buildup'!Z26</f>
        <v>1030491.246848</v>
      </c>
      <c r="T20" s="7">
        <f>'COGS Buildup'!AA26</f>
        <v>1125579.0162175999</v>
      </c>
      <c r="U20" s="7">
        <f>'COGS Buildup'!AB26</f>
        <v>1218930.3394611198</v>
      </c>
      <c r="V20" s="7">
        <f>'COGS Buildup'!AC26</f>
        <v>1355971.9273533437</v>
      </c>
      <c r="W20" s="7">
        <f>'COGS Buildup'!AD26</f>
        <v>1500573.8328240127</v>
      </c>
      <c r="X20" s="7">
        <f>'COGS Buildup'!AE26</f>
        <v>1817778.1193888152</v>
      </c>
      <c r="Y20" s="7">
        <f>'COGS Buildup'!AF26</f>
        <v>2028059.2632665783</v>
      </c>
      <c r="Z20" s="7">
        <f>'COGS Buildup'!AG26</f>
        <v>2099766.6359198941</v>
      </c>
      <c r="AA20" s="7">
        <f>'COGS Buildup'!AH26</f>
        <v>2498649.4831038732</v>
      </c>
      <c r="AB20" s="7">
        <f>'COGS Buildup'!AI26</f>
        <v>2591794.7927108794</v>
      </c>
      <c r="AC20" s="7">
        <f>'COGS Buildup'!AJ26</f>
        <v>2772189.517653055</v>
      </c>
      <c r="AD20" s="7">
        <f>'COGS Buildup'!AK26</f>
        <v>3327792.1875836663</v>
      </c>
      <c r="AE20" s="7">
        <f>'COGS Buildup'!AL26</f>
        <v>3771369.3915003999</v>
      </c>
      <c r="AF20" s="7">
        <f>'COGS Buildup'!AM26</f>
        <v>4132113.0362004796</v>
      </c>
      <c r="AG20" s="7">
        <f>'COGS Buildup'!AN26</f>
        <v>4906295.3098405767</v>
      </c>
      <c r="AH20" s="7">
        <f>'COGS Buildup'!AO26</f>
        <v>5596733.0382086914</v>
      </c>
      <c r="AI20" s="7">
        <f>'COGS Buildup'!AP26</f>
        <v>6394388.3122504307</v>
      </c>
      <c r="AJ20" s="7">
        <f>'COGS Buildup'!AQ26</f>
        <v>7162190.6411005165</v>
      </c>
      <c r="AK20" s="7">
        <f>'COGS Buildup'!AR26</f>
        <v>8416231.8357206192</v>
      </c>
      <c r="AL20" s="7">
        <f>'COGS Buildup'!AS26</f>
        <v>9632697.8692647424</v>
      </c>
      <c r="AM20" s="7">
        <f>'COGS Buildup'!AT26</f>
        <v>9363737.1095176917</v>
      </c>
      <c r="AN20" s="7"/>
      <c r="AO20" s="7">
        <f>'COGS Buildup'!AV26</f>
        <v>43137701.918156676</v>
      </c>
      <c r="AP20" s="7">
        <f>'COGS Buildup'!AW26</f>
        <v>136266679.25602907</v>
      </c>
    </row>
    <row r="21" spans="1:42" ht="15.75" customHeight="1">
      <c r="A21" s="4"/>
      <c r="B21" s="4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 ht="15.75" customHeight="1">
      <c r="A22" s="5" t="s">
        <v>19</v>
      </c>
      <c r="B22" s="4"/>
      <c r="D22" s="7">
        <f t="shared" ref="D22:AM22" si="4">SUM(D19,D20)</f>
        <v>863410</v>
      </c>
      <c r="E22" s="7">
        <f t="shared" si="4"/>
        <v>883010</v>
      </c>
      <c r="F22" s="7">
        <f t="shared" si="4"/>
        <v>897010</v>
      </c>
      <c r="G22" s="7">
        <f t="shared" si="4"/>
        <v>1767375</v>
      </c>
      <c r="H22" s="7">
        <f t="shared" si="4"/>
        <v>1934175</v>
      </c>
      <c r="I22" s="7">
        <f t="shared" si="4"/>
        <v>2297943.3333333335</v>
      </c>
      <c r="J22" s="7">
        <f t="shared" si="4"/>
        <v>2475633.333333333</v>
      </c>
      <c r="K22" s="7">
        <f t="shared" si="4"/>
        <v>3018271.666666667</v>
      </c>
      <c r="L22" s="7">
        <f t="shared" si="4"/>
        <v>2897471.666666667</v>
      </c>
      <c r="M22" s="7">
        <f t="shared" si="4"/>
        <v>3083911.666666667</v>
      </c>
      <c r="N22" s="7">
        <f t="shared" si="4"/>
        <v>3123439.666666667</v>
      </c>
      <c r="O22" s="7">
        <f t="shared" si="4"/>
        <v>3166113.2666666666</v>
      </c>
      <c r="P22" s="7">
        <f t="shared" si="4"/>
        <v>2419278.8159999996</v>
      </c>
      <c r="Q22" s="7">
        <f t="shared" si="4"/>
        <v>2640184.0992000001</v>
      </c>
      <c r="R22" s="7">
        <f t="shared" si="4"/>
        <v>2753556.4390400001</v>
      </c>
      <c r="S22" s="7">
        <f t="shared" si="4"/>
        <v>2636491.2468480002</v>
      </c>
      <c r="T22" s="7">
        <f t="shared" si="4"/>
        <v>2731579.0162175996</v>
      </c>
      <c r="U22" s="7">
        <f t="shared" si="4"/>
        <v>2615930.3394611198</v>
      </c>
      <c r="V22" s="7">
        <f t="shared" si="4"/>
        <v>2961971.9273533439</v>
      </c>
      <c r="W22" s="7">
        <f t="shared" si="4"/>
        <v>3106573.8328240127</v>
      </c>
      <c r="X22" s="7">
        <f t="shared" si="4"/>
        <v>3423778.119388815</v>
      </c>
      <c r="Y22" s="7">
        <f t="shared" si="4"/>
        <v>3975059.2632665783</v>
      </c>
      <c r="Z22" s="7">
        <f t="shared" si="4"/>
        <v>4255766.6359198941</v>
      </c>
      <c r="AA22" s="7">
        <f t="shared" si="4"/>
        <v>4654649.4831038732</v>
      </c>
      <c r="AB22" s="7">
        <f t="shared" si="4"/>
        <v>4963394.7927108798</v>
      </c>
      <c r="AC22" s="7">
        <f t="shared" si="4"/>
        <v>5143789.5176530555</v>
      </c>
      <c r="AD22" s="7">
        <f t="shared" si="4"/>
        <v>5699392.1875836663</v>
      </c>
      <c r="AE22" s="7">
        <f t="shared" si="4"/>
        <v>6142969.3915004004</v>
      </c>
      <c r="AF22" s="7">
        <f t="shared" si="4"/>
        <v>6503713.0362004805</v>
      </c>
      <c r="AG22" s="7">
        <f t="shared" si="4"/>
        <v>7277895.3098405767</v>
      </c>
      <c r="AH22" s="7">
        <f t="shared" si="4"/>
        <v>7968333.0382086914</v>
      </c>
      <c r="AI22" s="7">
        <f t="shared" si="4"/>
        <v>8765988.3122504316</v>
      </c>
      <c r="AJ22" s="7">
        <f t="shared" si="4"/>
        <v>9884690.6411005165</v>
      </c>
      <c r="AK22" s="7">
        <f t="shared" si="4"/>
        <v>10787831.835720619</v>
      </c>
      <c r="AL22" s="7">
        <f t="shared" si="4"/>
        <v>12004297.869264742</v>
      </c>
      <c r="AM22" s="7">
        <f t="shared" si="4"/>
        <v>11735337.109517692</v>
      </c>
      <c r="AN22" s="7"/>
      <c r="AO22" s="7">
        <f t="shared" ref="AO22:AP22" si="5">SUM(AO19,AO20)</f>
        <v>99838301.918156683</v>
      </c>
      <c r="AP22" s="7">
        <f t="shared" si="5"/>
        <v>215855155.2560291</v>
      </c>
    </row>
    <row r="23" spans="1:42" ht="15.75" customHeight="1">
      <c r="A23" s="4"/>
      <c r="B23" s="4"/>
    </row>
    <row r="24" spans="1:42" ht="15.75" customHeight="1">
      <c r="A24" s="4" t="s">
        <v>20</v>
      </c>
      <c r="B24" s="4"/>
      <c r="D24" s="7">
        <f t="shared" ref="D24:AM24" si="6">D16-D22</f>
        <v>636590</v>
      </c>
      <c r="E24" s="7">
        <f t="shared" si="6"/>
        <v>665990</v>
      </c>
      <c r="F24" s="7">
        <f t="shared" si="6"/>
        <v>686990</v>
      </c>
      <c r="G24" s="7">
        <f t="shared" si="6"/>
        <v>55125</v>
      </c>
      <c r="H24" s="7">
        <f t="shared" si="6"/>
        <v>1430325</v>
      </c>
      <c r="I24" s="7">
        <f t="shared" si="6"/>
        <v>-387943.33333333349</v>
      </c>
      <c r="J24" s="7">
        <f t="shared" si="6"/>
        <v>1190366.666666667</v>
      </c>
      <c r="K24" s="7">
        <f t="shared" si="6"/>
        <v>718728.33333333302</v>
      </c>
      <c r="L24" s="7">
        <f t="shared" si="6"/>
        <v>-588871.66666666698</v>
      </c>
      <c r="M24" s="7">
        <f t="shared" si="6"/>
        <v>1014108.333333333</v>
      </c>
      <c r="N24" s="7">
        <f t="shared" si="6"/>
        <v>1071384.333333333</v>
      </c>
      <c r="O24" s="7">
        <f t="shared" si="6"/>
        <v>1132975.5333333332</v>
      </c>
      <c r="P24" s="7">
        <f t="shared" si="6"/>
        <v>2087223.0720000006</v>
      </c>
      <c r="Q24" s="7">
        <f t="shared" si="6"/>
        <v>3596173.1663999995</v>
      </c>
      <c r="R24" s="7">
        <f t="shared" si="6"/>
        <v>503192.27967999969</v>
      </c>
      <c r="S24" s="7">
        <f t="shared" si="6"/>
        <v>2609727.2156159999</v>
      </c>
      <c r="T24" s="7">
        <f t="shared" si="6"/>
        <v>2746038.1387392003</v>
      </c>
      <c r="U24" s="7">
        <f t="shared" si="6"/>
        <v>3116580.2464870401</v>
      </c>
      <c r="V24" s="7">
        <f t="shared" si="6"/>
        <v>3284940.7757844478</v>
      </c>
      <c r="W24" s="7">
        <f t="shared" si="6"/>
        <v>3490921.4109413377</v>
      </c>
      <c r="X24" s="7">
        <f t="shared" si="6"/>
        <v>5134871.1731296051</v>
      </c>
      <c r="Y24" s="7">
        <f t="shared" si="6"/>
        <v>5469914.8877555262</v>
      </c>
      <c r="Z24" s="7">
        <f t="shared" si="6"/>
        <v>4139252.3453066321</v>
      </c>
      <c r="AA24" s="7">
        <f t="shared" si="6"/>
        <v>5896178.2943679579</v>
      </c>
      <c r="AB24" s="7">
        <f t="shared" si="6"/>
        <v>6403367.9569036271</v>
      </c>
      <c r="AC24" s="7">
        <f t="shared" si="6"/>
        <v>5399403.2818843517</v>
      </c>
      <c r="AD24" s="7">
        <f t="shared" si="6"/>
        <v>7432026.6718612239</v>
      </c>
      <c r="AE24" s="7">
        <f t="shared" si="6"/>
        <v>8489080.7398334667</v>
      </c>
      <c r="AF24" s="7">
        <f t="shared" si="6"/>
        <v>7730709.6214001607</v>
      </c>
      <c r="AG24" s="7">
        <f t="shared" si="6"/>
        <v>10061286.629280193</v>
      </c>
      <c r="AH24" s="7">
        <f t="shared" si="6"/>
        <v>11232232.53873623</v>
      </c>
      <c r="AI24" s="7">
        <f t="shared" si="6"/>
        <v>12326462.630083475</v>
      </c>
      <c r="AJ24" s="7">
        <f t="shared" si="6"/>
        <v>11716227.73970017</v>
      </c>
      <c r="AK24" s="7">
        <f t="shared" si="6"/>
        <v>15530280.471240206</v>
      </c>
      <c r="AL24" s="7">
        <f t="shared" si="6"/>
        <v>17178286.649088249</v>
      </c>
      <c r="AM24" s="7">
        <f t="shared" si="6"/>
        <v>16562814.062505899</v>
      </c>
      <c r="AN24" s="7"/>
      <c r="AO24" s="7">
        <f t="shared" ref="AO24:AP24" si="7">AO16-AO22</f>
        <v>91288334.0015589</v>
      </c>
      <c r="AP24" s="7">
        <f t="shared" si="7"/>
        <v>243883607.32766011</v>
      </c>
    </row>
    <row r="25" spans="1:42" ht="15.75" customHeight="1">
      <c r="A25" s="69" t="s">
        <v>21</v>
      </c>
      <c r="B25" s="69"/>
      <c r="D25" s="71">
        <f t="shared" ref="D25:AM25" si="8">D24/D16</f>
        <v>0.42439333333333334</v>
      </c>
      <c r="E25" s="71">
        <f t="shared" si="8"/>
        <v>0.4299483537766301</v>
      </c>
      <c r="F25" s="71">
        <f t="shared" si="8"/>
        <v>0.43370580808080811</v>
      </c>
      <c r="G25" s="71">
        <f t="shared" si="8"/>
        <v>3.0246913580246913E-2</v>
      </c>
      <c r="H25" s="71">
        <f t="shared" si="8"/>
        <v>0.42512260365581811</v>
      </c>
      <c r="I25" s="71">
        <f t="shared" si="8"/>
        <v>-0.20311169284467723</v>
      </c>
      <c r="J25" s="71">
        <f t="shared" si="8"/>
        <v>0.32470449172576843</v>
      </c>
      <c r="K25" s="71">
        <f t="shared" si="8"/>
        <v>0.19232762465435724</v>
      </c>
      <c r="L25" s="71">
        <f t="shared" si="8"/>
        <v>-0.255077391781455</v>
      </c>
      <c r="M25" s="71">
        <f t="shared" si="8"/>
        <v>0.24746300245809758</v>
      </c>
      <c r="N25" s="71">
        <f t="shared" si="8"/>
        <v>0.25540626575354125</v>
      </c>
      <c r="O25" s="71">
        <f t="shared" si="8"/>
        <v>0.26353852782322923</v>
      </c>
      <c r="P25" s="71">
        <f t="shared" si="8"/>
        <v>0.46315814879782879</v>
      </c>
      <c r="Q25" s="71">
        <f t="shared" si="8"/>
        <v>0.57664643208249744</v>
      </c>
      <c r="R25" s="71">
        <f t="shared" si="8"/>
        <v>0.15450755435555047</v>
      </c>
      <c r="S25" s="71">
        <f t="shared" si="8"/>
        <v>0.49744920732681136</v>
      </c>
      <c r="T25" s="71">
        <f t="shared" si="8"/>
        <v>0.50131983690285076</v>
      </c>
      <c r="U25" s="71">
        <f t="shared" si="8"/>
        <v>0.54366759550807808</v>
      </c>
      <c r="V25" s="71">
        <f t="shared" si="8"/>
        <v>0.5258502770711746</v>
      </c>
      <c r="W25" s="71">
        <f t="shared" si="8"/>
        <v>0.52912829520267823</v>
      </c>
      <c r="X25" s="71">
        <f t="shared" si="8"/>
        <v>0.59996279758983406</v>
      </c>
      <c r="Y25" s="71">
        <f t="shared" si="8"/>
        <v>0.5791349770039963</v>
      </c>
      <c r="Z25" s="71">
        <f t="shared" si="8"/>
        <v>0.49306051059123163</v>
      </c>
      <c r="AA25" s="71">
        <f t="shared" si="8"/>
        <v>0.55883561164342965</v>
      </c>
      <c r="AB25" s="71">
        <f t="shared" si="8"/>
        <v>0.56334139261601035</v>
      </c>
      <c r="AC25" s="71">
        <f t="shared" si="8"/>
        <v>0.51212221805535563</v>
      </c>
      <c r="AD25" s="71">
        <f t="shared" si="8"/>
        <v>0.56597285879093506</v>
      </c>
      <c r="AE25" s="71">
        <f t="shared" si="8"/>
        <v>0.58017028807565985</v>
      </c>
      <c r="AF25" s="71">
        <f t="shared" si="8"/>
        <v>0.54309962598112504</v>
      </c>
      <c r="AG25" s="71">
        <f t="shared" si="8"/>
        <v>0.58026305189057714</v>
      </c>
      <c r="AH25" s="71">
        <f t="shared" si="8"/>
        <v>0.58499487912081782</v>
      </c>
      <c r="AI25" s="71">
        <f t="shared" si="8"/>
        <v>0.58440162614499536</v>
      </c>
      <c r="AJ25" s="71">
        <f t="shared" si="8"/>
        <v>0.5423948895670001</v>
      </c>
      <c r="AK25" s="71">
        <f t="shared" si="8"/>
        <v>0.59009857128440901</v>
      </c>
      <c r="AL25" s="71">
        <f t="shared" si="8"/>
        <v>0.58864857011841376</v>
      </c>
      <c r="AM25" s="71">
        <f t="shared" si="8"/>
        <v>0.58529668464279028</v>
      </c>
      <c r="AO25" s="71">
        <f t="shared" ref="AO25:AP25" si="9">AO24/AO16</f>
        <v>0.47763271488703102</v>
      </c>
      <c r="AP25" s="71">
        <f t="shared" si="9"/>
        <v>0.53048302030713457</v>
      </c>
    </row>
    <row r="26" spans="1:42" ht="15.75" customHeight="1">
      <c r="A26" s="4"/>
      <c r="B26" s="4"/>
    </row>
    <row r="27" spans="1:42" ht="15.75" customHeight="1">
      <c r="A27" s="4" t="s">
        <v>22</v>
      </c>
      <c r="B27" s="4" t="s">
        <v>63</v>
      </c>
      <c r="D27" s="7">
        <f>Manpower!G49</f>
        <v>655000</v>
      </c>
      <c r="E27" s="7">
        <f>Manpower!H49</f>
        <v>655000</v>
      </c>
      <c r="F27" s="7">
        <f>Manpower!I49</f>
        <v>655000</v>
      </c>
      <c r="G27" s="7">
        <f>Manpower!J49</f>
        <v>655000</v>
      </c>
      <c r="H27" s="7">
        <f>Manpower!K49</f>
        <v>655000</v>
      </c>
      <c r="I27" s="7">
        <f>Manpower!L49</f>
        <v>655000</v>
      </c>
      <c r="J27" s="7">
        <f>Manpower!M49</f>
        <v>705000</v>
      </c>
      <c r="K27" s="7">
        <f>Manpower!N49</f>
        <v>705000</v>
      </c>
      <c r="L27" s="7">
        <f>Manpower!O49</f>
        <v>705000</v>
      </c>
      <c r="M27" s="7">
        <f>Manpower!P49</f>
        <v>705000</v>
      </c>
      <c r="N27" s="7">
        <f>Manpower!Q49</f>
        <v>705000</v>
      </c>
      <c r="O27" s="7">
        <f>Manpower!R49</f>
        <v>705000</v>
      </c>
      <c r="P27" s="7">
        <f>Manpower!S49</f>
        <v>788700</v>
      </c>
      <c r="Q27" s="7">
        <f>Manpower!T49</f>
        <v>788700</v>
      </c>
      <c r="R27" s="7">
        <f>Manpower!U49</f>
        <v>788699.99999999977</v>
      </c>
      <c r="S27" s="7">
        <f>Manpower!V49</f>
        <v>788700</v>
      </c>
      <c r="T27" s="7">
        <f>Manpower!W49</f>
        <v>788700</v>
      </c>
      <c r="U27" s="7">
        <f>Manpower!X49</f>
        <v>788700</v>
      </c>
      <c r="V27" s="7">
        <f>Manpower!Y49</f>
        <v>788700</v>
      </c>
      <c r="W27" s="7">
        <f>Manpower!Z49</f>
        <v>788700</v>
      </c>
      <c r="X27" s="7">
        <f>Manpower!AA49</f>
        <v>788700</v>
      </c>
      <c r="Y27" s="7">
        <f>Manpower!AB49</f>
        <v>788699.99999999977</v>
      </c>
      <c r="Z27" s="7">
        <f>Manpower!AC49</f>
        <v>788700</v>
      </c>
      <c r="AA27" s="7">
        <f>Manpower!AD49</f>
        <v>788700</v>
      </c>
      <c r="AB27" s="7">
        <f>Manpower!AE49</f>
        <v>942590.00000000023</v>
      </c>
      <c r="AC27" s="7">
        <f>Manpower!AF49</f>
        <v>942590.00000000023</v>
      </c>
      <c r="AD27" s="7">
        <f>Manpower!AG49</f>
        <v>942590.00000000023</v>
      </c>
      <c r="AE27" s="7">
        <f>Manpower!AH49</f>
        <v>942590.00000000023</v>
      </c>
      <c r="AF27" s="7">
        <f>Manpower!AI49</f>
        <v>942590.00000000023</v>
      </c>
      <c r="AG27" s="7">
        <f>Manpower!AJ49</f>
        <v>942590.00000000023</v>
      </c>
      <c r="AH27" s="7">
        <f>Manpower!AK49</f>
        <v>942590.00000000023</v>
      </c>
      <c r="AI27" s="7">
        <f>Manpower!AL49</f>
        <v>942590.00000000023</v>
      </c>
      <c r="AJ27" s="7">
        <f>Manpower!AM49</f>
        <v>942590.00000000023</v>
      </c>
      <c r="AK27" s="7">
        <f>Manpower!AN49</f>
        <v>942590.00000000023</v>
      </c>
      <c r="AL27" s="7">
        <f>Manpower!AO49</f>
        <v>942590.00000000023</v>
      </c>
      <c r="AM27" s="7">
        <f>Manpower!AP49</f>
        <v>942590.00000000023</v>
      </c>
      <c r="AO27" s="7">
        <f>Manpower!AU49</f>
        <v>15237288.000000011</v>
      </c>
      <c r="AP27" s="7">
        <f>Manpower!AV49</f>
        <v>16761016.800000008</v>
      </c>
    </row>
    <row r="28" spans="1:42" ht="15.75" customHeight="1">
      <c r="A28" s="4" t="s">
        <v>23</v>
      </c>
      <c r="B28" s="4" t="s">
        <v>64</v>
      </c>
      <c r="D28" s="7">
        <f>Overheads!G27</f>
        <v>849453</v>
      </c>
      <c r="E28" s="7">
        <f>Overheads!H27</f>
        <v>737596.95</v>
      </c>
      <c r="F28" s="7">
        <f>Overheads!I27</f>
        <v>741291.20000000007</v>
      </c>
      <c r="G28" s="7">
        <f>Overheads!J27</f>
        <v>909814.875</v>
      </c>
      <c r="H28" s="7">
        <f>Overheads!K27</f>
        <v>972572.97499999998</v>
      </c>
      <c r="I28" s="7">
        <f>Overheads!L27</f>
        <v>843700.5</v>
      </c>
      <c r="J28" s="7">
        <f>Overheads!M27</f>
        <v>1154146.3</v>
      </c>
      <c r="K28" s="7">
        <f>Overheads!N27</f>
        <v>1081590.3499999999</v>
      </c>
      <c r="L28" s="7">
        <f>Overheads!O27</f>
        <v>930822.73</v>
      </c>
      <c r="M28" s="7">
        <f>Overheads!P27</f>
        <v>1219696.0109999999</v>
      </c>
      <c r="N28" s="7">
        <f>Overheads!Q27</f>
        <v>1129913.6732000001</v>
      </c>
      <c r="O28" s="7">
        <f>Overheads!R27</f>
        <v>1140918.82284</v>
      </c>
      <c r="P28" s="7">
        <f>Overheads!S27</f>
        <v>1332739.2742784002</v>
      </c>
      <c r="Q28" s="7">
        <f>Overheads!T27</f>
        <v>1383297.5093840801</v>
      </c>
      <c r="R28" s="7">
        <f>Overheads!U27</f>
        <v>1086124.8272608961</v>
      </c>
      <c r="S28" s="7">
        <f>Overheads!V27</f>
        <v>1393788.3587130751</v>
      </c>
      <c r="T28" s="7">
        <f>Overheads!W27</f>
        <v>1303212.4907056903</v>
      </c>
      <c r="U28" s="7">
        <f>Overheads!X27</f>
        <v>1318566.4923468283</v>
      </c>
      <c r="V28" s="7">
        <f>Overheads!Y27</f>
        <v>1524411.6358161941</v>
      </c>
      <c r="W28" s="7">
        <f>Overheads!Z27</f>
        <v>1421415.6229794326</v>
      </c>
      <c r="X28" s="7">
        <f>Overheads!AA27</f>
        <v>1628415.4328253192</v>
      </c>
      <c r="Y28" s="7">
        <f>Overheads!AB27</f>
        <v>1854292.0216403832</v>
      </c>
      <c r="Z28" s="7">
        <f>Overheads!AC27</f>
        <v>1640019.2534684597</v>
      </c>
      <c r="AA28" s="7">
        <f>Overheads!AD27</f>
        <v>1867564.8719121516</v>
      </c>
      <c r="AB28" s="7">
        <f>Overheads!AE27</f>
        <v>2224909.808221811</v>
      </c>
      <c r="AC28" s="7">
        <f>Overheads!AF27</f>
        <v>1988703.9999911734</v>
      </c>
      <c r="AD28" s="7">
        <f>Overheads!AG27</f>
        <v>2261891.2606144082</v>
      </c>
      <c r="AE28" s="7">
        <f>Overheads!AH27</f>
        <v>2552532.8913622894</v>
      </c>
      <c r="AF28" s="7">
        <f>Overheads!AI27</f>
        <v>2378313.3115097475</v>
      </c>
      <c r="AG28" s="7">
        <f>Overheads!AJ27</f>
        <v>2706020.6536741969</v>
      </c>
      <c r="AH28" s="7">
        <f>Overheads!AK27</f>
        <v>3064739.6966465367</v>
      </c>
      <c r="AI28" s="7">
        <f>Overheads!AL27</f>
        <v>3102178.1969633442</v>
      </c>
      <c r="AJ28" s="7">
        <f>Overheads!AM27</f>
        <v>3175500.6850935118</v>
      </c>
      <c r="AK28" s="7">
        <f>Overheads!AN27</f>
        <v>3785996.7539997152</v>
      </c>
      <c r="AL28" s="7">
        <f>Overheads!AO27</f>
        <v>3956091.7959121582</v>
      </c>
      <c r="AM28" s="7">
        <f>Overheads!AP27</f>
        <v>3862739.85620709</v>
      </c>
      <c r="AO28" s="7">
        <f>Overheads!AU27</f>
        <v>33123416.421325978</v>
      </c>
      <c r="AP28" s="7">
        <f>Overheads!AV27</f>
        <v>64228099.990708403</v>
      </c>
    </row>
    <row r="29" spans="1:42" ht="15.75" customHeight="1">
      <c r="A29" s="4"/>
      <c r="B29" s="4"/>
    </row>
    <row r="30" spans="1:42" ht="15.75" customHeight="1">
      <c r="A30" s="6" t="s">
        <v>24</v>
      </c>
      <c r="B30" s="4"/>
      <c r="D30" s="7">
        <f t="shared" ref="D30:AM30" si="10">D24-D27-D28</f>
        <v>-867863</v>
      </c>
      <c r="E30" s="7">
        <f t="shared" si="10"/>
        <v>-726606.95</v>
      </c>
      <c r="F30" s="7">
        <f t="shared" si="10"/>
        <v>-709301.20000000007</v>
      </c>
      <c r="G30" s="7">
        <f t="shared" si="10"/>
        <v>-1509689.875</v>
      </c>
      <c r="H30" s="7">
        <f t="shared" si="10"/>
        <v>-197247.97499999998</v>
      </c>
      <c r="I30" s="7">
        <f t="shared" si="10"/>
        <v>-1886643.8333333335</v>
      </c>
      <c r="J30" s="7">
        <f t="shared" si="10"/>
        <v>-668779.63333333307</v>
      </c>
      <c r="K30" s="7">
        <f t="shared" si="10"/>
        <v>-1067862.0166666668</v>
      </c>
      <c r="L30" s="7">
        <f t="shared" si="10"/>
        <v>-2224694.396666667</v>
      </c>
      <c r="M30" s="7">
        <f t="shared" si="10"/>
        <v>-910587.67766666692</v>
      </c>
      <c r="N30" s="7">
        <f t="shared" si="10"/>
        <v>-763529.33986666705</v>
      </c>
      <c r="O30" s="7">
        <f t="shared" si="10"/>
        <v>-712943.28950666683</v>
      </c>
      <c r="P30" s="7">
        <f t="shared" si="10"/>
        <v>-34216.202278399607</v>
      </c>
      <c r="Q30" s="7">
        <f t="shared" si="10"/>
        <v>1424175.6570159195</v>
      </c>
      <c r="R30" s="7">
        <f t="shared" si="10"/>
        <v>-1371632.5475808962</v>
      </c>
      <c r="S30" s="7">
        <f t="shared" si="10"/>
        <v>427238.85690292483</v>
      </c>
      <c r="T30" s="7">
        <f t="shared" si="10"/>
        <v>654125.64803350996</v>
      </c>
      <c r="U30" s="7">
        <f t="shared" si="10"/>
        <v>1009313.7541402117</v>
      </c>
      <c r="V30" s="7">
        <f t="shared" si="10"/>
        <v>971829.13996825367</v>
      </c>
      <c r="W30" s="7">
        <f t="shared" si="10"/>
        <v>1280805.7879619051</v>
      </c>
      <c r="X30" s="7">
        <f t="shared" si="10"/>
        <v>2717755.7403042857</v>
      </c>
      <c r="Y30" s="7">
        <f t="shared" si="10"/>
        <v>2826922.8661151431</v>
      </c>
      <c r="Z30" s="7">
        <f t="shared" si="10"/>
        <v>1710533.0918381724</v>
      </c>
      <c r="AA30" s="7">
        <f t="shared" si="10"/>
        <v>3239913.4224558063</v>
      </c>
      <c r="AB30" s="7">
        <f t="shared" si="10"/>
        <v>3235868.1486818162</v>
      </c>
      <c r="AC30" s="7">
        <f t="shared" si="10"/>
        <v>2468109.2818931784</v>
      </c>
      <c r="AD30" s="7">
        <f t="shared" si="10"/>
        <v>4227545.4112468157</v>
      </c>
      <c r="AE30" s="7">
        <f t="shared" si="10"/>
        <v>4993957.8484711777</v>
      </c>
      <c r="AF30" s="7">
        <f t="shared" si="10"/>
        <v>4409806.3098904137</v>
      </c>
      <c r="AG30" s="7">
        <f t="shared" si="10"/>
        <v>6412675.9756059963</v>
      </c>
      <c r="AH30" s="7">
        <f t="shared" si="10"/>
        <v>7224902.8420896931</v>
      </c>
      <c r="AI30" s="7">
        <f t="shared" si="10"/>
        <v>8281694.4331201315</v>
      </c>
      <c r="AJ30" s="7">
        <f t="shared" si="10"/>
        <v>7598137.0546066584</v>
      </c>
      <c r="AK30" s="7">
        <f t="shared" si="10"/>
        <v>10801693.71724049</v>
      </c>
      <c r="AL30" s="7">
        <f t="shared" si="10"/>
        <v>12279604.853176091</v>
      </c>
      <c r="AM30" s="7">
        <f t="shared" si="10"/>
        <v>11757484.206298809</v>
      </c>
      <c r="AN30" s="7"/>
      <c r="AO30" s="7">
        <f t="shared" ref="AO30:AP30" si="11">AO24-AO27-AO28</f>
        <v>42927629.580232903</v>
      </c>
      <c r="AP30" s="7">
        <f t="shared" si="11"/>
        <v>162894490.53695169</v>
      </c>
    </row>
    <row r="31" spans="1:42" ht="15.75" customHeight="1">
      <c r="A31" s="69" t="s">
        <v>25</v>
      </c>
      <c r="B31" s="69"/>
      <c r="D31" s="72">
        <f t="shared" ref="D31:AM31" si="12">D30/D16</f>
        <v>-0.57857533333333333</v>
      </c>
      <c r="E31" s="72">
        <f t="shared" si="12"/>
        <v>-0.46908131052291796</v>
      </c>
      <c r="F31" s="72">
        <f t="shared" si="12"/>
        <v>-0.44779116161616167</v>
      </c>
      <c r="G31" s="72">
        <f t="shared" si="12"/>
        <v>-0.82836207133058981</v>
      </c>
      <c r="H31" s="72">
        <f t="shared" si="12"/>
        <v>-5.8626237182345067E-2</v>
      </c>
      <c r="I31" s="72">
        <f t="shared" si="12"/>
        <v>-0.98777164048865629</v>
      </c>
      <c r="J31" s="72">
        <f t="shared" si="12"/>
        <v>-0.18242761411165659</v>
      </c>
      <c r="K31" s="72">
        <f t="shared" si="12"/>
        <v>-0.28575381767906527</v>
      </c>
      <c r="L31" s="72">
        <f t="shared" si="12"/>
        <v>-0.96365520084322398</v>
      </c>
      <c r="M31" s="72">
        <f t="shared" si="12"/>
        <v>-0.22220186276950013</v>
      </c>
      <c r="N31" s="72">
        <f t="shared" si="12"/>
        <v>-0.18201701426964922</v>
      </c>
      <c r="O31" s="72">
        <f t="shared" si="12"/>
        <v>-0.16583590678719334</v>
      </c>
      <c r="P31" s="72">
        <f t="shared" si="12"/>
        <v>-7.5926301882866549E-3</v>
      </c>
      <c r="Q31" s="72">
        <f t="shared" si="12"/>
        <v>0.22836659228484718</v>
      </c>
      <c r="R31" s="72">
        <f t="shared" si="12"/>
        <v>-0.42116622006993193</v>
      </c>
      <c r="S31" s="72">
        <f t="shared" si="12"/>
        <v>8.1437488728264451E-2</v>
      </c>
      <c r="T31" s="72">
        <f t="shared" si="12"/>
        <v>0.11941792015193672</v>
      </c>
      <c r="U31" s="72">
        <f t="shared" si="12"/>
        <v>0.17606836289396416</v>
      </c>
      <c r="V31" s="72">
        <f t="shared" si="12"/>
        <v>0.15556950867587904</v>
      </c>
      <c r="W31" s="72">
        <f t="shared" si="12"/>
        <v>0.19413515897147024</v>
      </c>
      <c r="X31" s="72">
        <f t="shared" si="12"/>
        <v>0.31754493582065846</v>
      </c>
      <c r="Y31" s="72">
        <f t="shared" si="12"/>
        <v>0.29930445768443131</v>
      </c>
      <c r="Z31" s="72">
        <f t="shared" si="12"/>
        <v>0.20375571462832603</v>
      </c>
      <c r="AA31" s="72">
        <f t="shared" si="12"/>
        <v>0.30707670438652046</v>
      </c>
      <c r="AB31" s="72">
        <f t="shared" si="12"/>
        <v>0.28467807589206151</v>
      </c>
      <c r="AC31" s="72">
        <f t="shared" si="12"/>
        <v>0.23409505344542964</v>
      </c>
      <c r="AD31" s="72">
        <f t="shared" si="12"/>
        <v>0.32194125071306484</v>
      </c>
      <c r="AE31" s="72">
        <f t="shared" si="12"/>
        <v>0.3413026748573561</v>
      </c>
      <c r="AF31" s="72">
        <f t="shared" si="12"/>
        <v>0.30979874744240116</v>
      </c>
      <c r="AG31" s="72">
        <f t="shared" si="12"/>
        <v>0.36983728517997017</v>
      </c>
      <c r="AH31" s="72">
        <f t="shared" si="12"/>
        <v>0.37628593872073202</v>
      </c>
      <c r="AI31" s="72">
        <f t="shared" si="12"/>
        <v>0.39263784259885309</v>
      </c>
      <c r="AJ31" s="72">
        <f t="shared" si="12"/>
        <v>0.35175064877612006</v>
      </c>
      <c r="AK31" s="72">
        <f t="shared" si="12"/>
        <v>0.41042813372232523</v>
      </c>
      <c r="AL31" s="72">
        <f t="shared" si="12"/>
        <v>0.42078537784936149</v>
      </c>
      <c r="AM31" s="72">
        <f t="shared" si="12"/>
        <v>0.4154859494115154</v>
      </c>
      <c r="AO31" s="72">
        <f t="shared" ref="AO31:AP31" si="13">AO30/AO16</f>
        <v>0.22460307206089805</v>
      </c>
      <c r="AP31" s="72">
        <f t="shared" si="13"/>
        <v>0.35431967846587431</v>
      </c>
    </row>
    <row r="32" spans="1:42" ht="15.75" customHeight="1">
      <c r="A32" s="4"/>
      <c r="B32" s="4"/>
    </row>
    <row r="33" spans="1:42" ht="15.75" customHeight="1">
      <c r="A33" s="3" t="s">
        <v>26</v>
      </c>
      <c r="B33" s="4" t="s">
        <v>65</v>
      </c>
      <c r="D33" s="7">
        <f>CAPEX!F29</f>
        <v>26944.444444444442</v>
      </c>
      <c r="E33" s="7">
        <f>CAPEX!G29</f>
        <v>40277.777777777774</v>
      </c>
      <c r="F33" s="7">
        <f>CAPEX!H29</f>
        <v>53611.111111111117</v>
      </c>
      <c r="G33" s="7">
        <f>CAPEX!I29</f>
        <v>72500</v>
      </c>
      <c r="H33" s="7">
        <f>CAPEX!J29</f>
        <v>85833.333333333328</v>
      </c>
      <c r="I33" s="7">
        <f>CAPEX!K29</f>
        <v>99166.666666666672</v>
      </c>
      <c r="J33" s="7">
        <f>CAPEX!L29</f>
        <v>112500</v>
      </c>
      <c r="K33" s="7">
        <f>CAPEX!M29</f>
        <v>140000</v>
      </c>
      <c r="L33" s="7">
        <f>CAPEX!N29</f>
        <v>161666.66666666666</v>
      </c>
      <c r="M33" s="7">
        <f>CAPEX!O29</f>
        <v>183333.33333333334</v>
      </c>
      <c r="N33" s="7">
        <f>CAPEX!P29</f>
        <v>205000</v>
      </c>
      <c r="O33" s="7">
        <f>CAPEX!Q29</f>
        <v>226666.66666666666</v>
      </c>
      <c r="P33" s="7">
        <f>CAPEX!R29</f>
        <v>250500</v>
      </c>
      <c r="Q33" s="7">
        <f>CAPEX!S29</f>
        <v>274333.33333333331</v>
      </c>
      <c r="R33" s="7">
        <f>CAPEX!T29</f>
        <v>298166.66666666669</v>
      </c>
      <c r="S33" s="7">
        <f>CAPEX!U29</f>
        <v>322000</v>
      </c>
      <c r="T33" s="7">
        <f>CAPEX!V29</f>
        <v>345833.33333333331</v>
      </c>
      <c r="U33" s="7">
        <f>CAPEX!W29</f>
        <v>369666.66666666669</v>
      </c>
      <c r="V33" s="7">
        <f>CAPEX!X29</f>
        <v>393500</v>
      </c>
      <c r="W33" s="7">
        <f>CAPEX!Y29</f>
        <v>417333.33333333331</v>
      </c>
      <c r="X33" s="7">
        <f>CAPEX!Z29</f>
        <v>441166.66666666669</v>
      </c>
      <c r="Y33" s="7">
        <f>CAPEX!AA29</f>
        <v>465000</v>
      </c>
      <c r="Z33" s="7">
        <f>CAPEX!AB29</f>
        <v>488833.33333333331</v>
      </c>
      <c r="AA33" s="7">
        <f>CAPEX!AC29</f>
        <v>512666.66666666669</v>
      </c>
      <c r="AB33" s="7">
        <f>CAPEX!AD29</f>
        <v>538883.33333333337</v>
      </c>
      <c r="AC33" s="7">
        <f>CAPEX!AE29</f>
        <v>565100</v>
      </c>
      <c r="AD33" s="7">
        <f>CAPEX!AF29</f>
        <v>591316.66666666663</v>
      </c>
      <c r="AE33" s="7">
        <f>CAPEX!AG29</f>
        <v>617533.33333333337</v>
      </c>
      <c r="AF33" s="7">
        <f>CAPEX!AH29</f>
        <v>643750</v>
      </c>
      <c r="AG33" s="7">
        <f>CAPEX!AI29</f>
        <v>669966.66666666663</v>
      </c>
      <c r="AH33" s="7">
        <f>CAPEX!AJ29</f>
        <v>696183.33333333337</v>
      </c>
      <c r="AI33" s="7">
        <f>CAPEX!AK29</f>
        <v>722400</v>
      </c>
      <c r="AJ33" s="7">
        <f>CAPEX!AL29</f>
        <v>748616.66666666663</v>
      </c>
      <c r="AK33" s="7">
        <f>CAPEX!AM29</f>
        <v>774833.33333333337</v>
      </c>
      <c r="AL33" s="7">
        <f>CAPEX!AN29</f>
        <v>801050</v>
      </c>
      <c r="AM33" s="7">
        <f>CAPEX!AO29</f>
        <v>827266.66666666663</v>
      </c>
      <c r="AN33" s="7"/>
      <c r="AO33" s="7">
        <f>CAPEX!AQ29</f>
        <v>4386053.333333333</v>
      </c>
      <c r="AP33" s="7">
        <f>CAPEX!AR29</f>
        <v>8954045.333333334</v>
      </c>
    </row>
    <row r="34" spans="1:42" ht="15.75" customHeight="1">
      <c r="A34" s="4"/>
      <c r="B34" s="4"/>
    </row>
    <row r="35" spans="1:42" ht="15.75" customHeight="1">
      <c r="A35" s="6" t="s">
        <v>27</v>
      </c>
      <c r="B35" s="4"/>
      <c r="D35" s="7">
        <f t="shared" ref="D35:AM35" si="14">D30-D33</f>
        <v>-894807.4444444445</v>
      </c>
      <c r="E35" s="7">
        <f t="shared" si="14"/>
        <v>-766884.72777777771</v>
      </c>
      <c r="F35" s="7">
        <f t="shared" si="14"/>
        <v>-762912.31111111119</v>
      </c>
      <c r="G35" s="7">
        <f t="shared" si="14"/>
        <v>-1582189.875</v>
      </c>
      <c r="H35" s="7">
        <f t="shared" si="14"/>
        <v>-283081.30833333329</v>
      </c>
      <c r="I35" s="7">
        <f t="shared" si="14"/>
        <v>-1985810.5000000002</v>
      </c>
      <c r="J35" s="7">
        <f t="shared" si="14"/>
        <v>-781279.63333333307</v>
      </c>
      <c r="K35" s="7">
        <f t="shared" si="14"/>
        <v>-1207862.0166666668</v>
      </c>
      <c r="L35" s="7">
        <f t="shared" si="14"/>
        <v>-2386361.0633333335</v>
      </c>
      <c r="M35" s="7">
        <f t="shared" si="14"/>
        <v>-1093921.0110000002</v>
      </c>
      <c r="N35" s="7">
        <f t="shared" si="14"/>
        <v>-968529.33986666705</v>
      </c>
      <c r="O35" s="7">
        <f t="shared" si="14"/>
        <v>-939609.95617333346</v>
      </c>
      <c r="P35" s="7">
        <f t="shared" si="14"/>
        <v>-284716.20227839961</v>
      </c>
      <c r="Q35" s="7">
        <f t="shared" si="14"/>
        <v>1149842.3236825862</v>
      </c>
      <c r="R35" s="7">
        <f t="shared" si="14"/>
        <v>-1669799.2142475629</v>
      </c>
      <c r="S35" s="7">
        <f t="shared" si="14"/>
        <v>105238.85690292483</v>
      </c>
      <c r="T35" s="7">
        <f t="shared" si="14"/>
        <v>308292.31470017665</v>
      </c>
      <c r="U35" s="7">
        <f t="shared" si="14"/>
        <v>639647.08747354499</v>
      </c>
      <c r="V35" s="7">
        <f t="shared" si="14"/>
        <v>578329.13996825367</v>
      </c>
      <c r="W35" s="7">
        <f t="shared" si="14"/>
        <v>863472.45462857187</v>
      </c>
      <c r="X35" s="7">
        <f t="shared" si="14"/>
        <v>2276589.0736376191</v>
      </c>
      <c r="Y35" s="7">
        <f t="shared" si="14"/>
        <v>2361922.8661151431</v>
      </c>
      <c r="Z35" s="7">
        <f t="shared" si="14"/>
        <v>1221699.7585048391</v>
      </c>
      <c r="AA35" s="7">
        <f t="shared" si="14"/>
        <v>2727246.7557891398</v>
      </c>
      <c r="AB35" s="7">
        <f t="shared" si="14"/>
        <v>2696984.8153484827</v>
      </c>
      <c r="AC35" s="7">
        <f t="shared" si="14"/>
        <v>1903009.2818931784</v>
      </c>
      <c r="AD35" s="7">
        <f t="shared" si="14"/>
        <v>3636228.7445801492</v>
      </c>
      <c r="AE35" s="7">
        <f t="shared" si="14"/>
        <v>4376424.5151378447</v>
      </c>
      <c r="AF35" s="7">
        <f t="shared" si="14"/>
        <v>3766056.3098904137</v>
      </c>
      <c r="AG35" s="7">
        <f t="shared" si="14"/>
        <v>5742709.3089393293</v>
      </c>
      <c r="AH35" s="7">
        <f t="shared" si="14"/>
        <v>6528719.50875636</v>
      </c>
      <c r="AI35" s="7">
        <f t="shared" si="14"/>
        <v>7559294.4331201315</v>
      </c>
      <c r="AJ35" s="7">
        <f t="shared" si="14"/>
        <v>6849520.3879399914</v>
      </c>
      <c r="AK35" s="7">
        <f t="shared" si="14"/>
        <v>10026860.383907156</v>
      </c>
      <c r="AL35" s="7">
        <f t="shared" si="14"/>
        <v>11478554.853176091</v>
      </c>
      <c r="AM35" s="7">
        <f t="shared" si="14"/>
        <v>10930217.539632143</v>
      </c>
      <c r="AN35" s="7"/>
      <c r="AO35" s="7">
        <f t="shared" ref="AO35:AP35" si="15">AO30-AO33</f>
        <v>38541576.246899568</v>
      </c>
      <c r="AP35" s="7">
        <f t="shared" si="15"/>
        <v>153940445.20361835</v>
      </c>
    </row>
    <row r="36" spans="1:42" ht="15.75" customHeight="1">
      <c r="A36" s="69" t="s">
        <v>28</v>
      </c>
      <c r="B36" s="69"/>
      <c r="D36" s="72">
        <f t="shared" ref="D36:AM36" si="16">D35/D16</f>
        <v>-0.59653829629629629</v>
      </c>
      <c r="E36" s="72">
        <f t="shared" si="16"/>
        <v>-0.49508374937235489</v>
      </c>
      <c r="F36" s="72">
        <f t="shared" si="16"/>
        <v>-0.48163656004489341</v>
      </c>
      <c r="G36" s="72">
        <f t="shared" si="16"/>
        <v>-0.86814259259259263</v>
      </c>
      <c r="H36" s="72">
        <f t="shared" si="16"/>
        <v>-8.4137704958636733E-2</v>
      </c>
      <c r="I36" s="72">
        <f t="shared" si="16"/>
        <v>-1.0396913612565446</v>
      </c>
      <c r="J36" s="72">
        <f t="shared" si="16"/>
        <v>-0.21311501182033091</v>
      </c>
      <c r="K36" s="72">
        <f t="shared" si="16"/>
        <v>-0.32321702345910269</v>
      </c>
      <c r="L36" s="72">
        <f t="shared" si="16"/>
        <v>-1.0336832120477057</v>
      </c>
      <c r="M36" s="72">
        <f t="shared" si="16"/>
        <v>-0.26693891464658548</v>
      </c>
      <c r="N36" s="72">
        <f t="shared" si="16"/>
        <v>-0.23088676422816953</v>
      </c>
      <c r="O36" s="72">
        <f t="shared" si="16"/>
        <v>-0.2185602577395781</v>
      </c>
      <c r="P36" s="72">
        <f t="shared" si="16"/>
        <v>-6.3178982136132544E-2</v>
      </c>
      <c r="Q36" s="72">
        <f t="shared" si="16"/>
        <v>0.18437723733775857</v>
      </c>
      <c r="R36" s="72">
        <f t="shared" si="16"/>
        <v>-0.5127196963798436</v>
      </c>
      <c r="S36" s="72">
        <f t="shared" si="16"/>
        <v>2.0059945588597757E-2</v>
      </c>
      <c r="T36" s="72">
        <f t="shared" si="16"/>
        <v>5.6282194607411927E-2</v>
      </c>
      <c r="U36" s="72">
        <f t="shared" si="16"/>
        <v>0.11158236480914357</v>
      </c>
      <c r="V36" s="72">
        <f t="shared" si="16"/>
        <v>9.257839311213073E-2</v>
      </c>
      <c r="W36" s="72">
        <f t="shared" si="16"/>
        <v>0.1308788294231141</v>
      </c>
      <c r="X36" s="72">
        <f t="shared" si="16"/>
        <v>0.26599864018586544</v>
      </c>
      <c r="Y36" s="72">
        <f t="shared" si="16"/>
        <v>0.25007192485111707</v>
      </c>
      <c r="Z36" s="72">
        <f t="shared" si="16"/>
        <v>0.14552674165917689</v>
      </c>
      <c r="AA36" s="72">
        <f t="shared" si="16"/>
        <v>0.25848652004465161</v>
      </c>
      <c r="AB36" s="72">
        <f t="shared" si="16"/>
        <v>0.23726938573077444</v>
      </c>
      <c r="AC36" s="72">
        <f t="shared" si="16"/>
        <v>0.18049648887922023</v>
      </c>
      <c r="AD36" s="72">
        <f t="shared" si="16"/>
        <v>0.27691057482069115</v>
      </c>
      <c r="AE36" s="72">
        <f t="shared" si="16"/>
        <v>0.29909851837959001</v>
      </c>
      <c r="AF36" s="72">
        <f t="shared" si="16"/>
        <v>0.26457387141581629</v>
      </c>
      <c r="AG36" s="72">
        <f t="shared" si="16"/>
        <v>0.331198399618992</v>
      </c>
      <c r="AH36" s="72">
        <f t="shared" si="16"/>
        <v>0.34002745818048818</v>
      </c>
      <c r="AI36" s="72">
        <f t="shared" si="16"/>
        <v>0.35838862225101309</v>
      </c>
      <c r="AJ36" s="72">
        <f t="shared" si="16"/>
        <v>0.31709394328474372</v>
      </c>
      <c r="AK36" s="72">
        <f t="shared" si="16"/>
        <v>0.38098706574996916</v>
      </c>
      <c r="AL36" s="72">
        <f t="shared" si="16"/>
        <v>0.39333578716981704</v>
      </c>
      <c r="AM36" s="72">
        <f t="shared" si="16"/>
        <v>0.38625200187770881</v>
      </c>
      <c r="AO36" s="72">
        <f t="shared" ref="AO36:AP36" si="17">AO35/AO16</f>
        <v>0.20165465719330347</v>
      </c>
      <c r="AP36" s="72">
        <f t="shared" si="17"/>
        <v>0.33484330174485899</v>
      </c>
    </row>
    <row r="37" spans="1:42" ht="15.75" customHeight="1">
      <c r="A37" s="4"/>
      <c r="B37" s="4"/>
    </row>
    <row r="38" spans="1:42" ht="15.75" customHeight="1">
      <c r="A38" s="3" t="s">
        <v>29</v>
      </c>
      <c r="B38" s="12" t="s">
        <v>64</v>
      </c>
      <c r="D38" s="7">
        <f>Overheads!G9</f>
        <v>15.000000000000002</v>
      </c>
      <c r="E38" s="7">
        <f>Overheads!H9</f>
        <v>15.490000000000002</v>
      </c>
      <c r="F38" s="7">
        <f>Overheads!I9</f>
        <v>15.840000000000002</v>
      </c>
      <c r="G38" s="7">
        <f>Overheads!J9</f>
        <v>18.225000000000001</v>
      </c>
      <c r="H38" s="7">
        <f>Overheads!K9</f>
        <v>33.645000000000003</v>
      </c>
      <c r="I38" s="7">
        <f>Overheads!L9</f>
        <v>19.100000000000001</v>
      </c>
      <c r="J38" s="7">
        <f>Overheads!M9</f>
        <v>36.660000000000004</v>
      </c>
      <c r="K38" s="7">
        <f>Overheads!N9</f>
        <v>37.370000000000005</v>
      </c>
      <c r="L38" s="7">
        <f>Overheads!O9</f>
        <v>23.086000000000002</v>
      </c>
      <c r="M38" s="7">
        <f>Overheads!P9</f>
        <v>40.980200000000004</v>
      </c>
      <c r="N38" s="7">
        <f>Overheads!Q9</f>
        <v>41.948240000000006</v>
      </c>
      <c r="O38" s="7">
        <f>Overheads!R9</f>
        <v>42.990887999999998</v>
      </c>
      <c r="P38" s="7">
        <f>Overheads!S9</f>
        <v>45.065018880000004</v>
      </c>
      <c r="Q38" s="7">
        <f>Overheads!T9</f>
        <v>62.363572656000002</v>
      </c>
      <c r="R38" s="7">
        <f>Overheads!U9</f>
        <v>32.567487187200001</v>
      </c>
      <c r="S38" s="7">
        <f>Overheads!V9</f>
        <v>52.462184624640003</v>
      </c>
      <c r="T38" s="7">
        <f>Overheads!W9</f>
        <v>54.776171549568005</v>
      </c>
      <c r="U38" s="7">
        <f>Overheads!X9</f>
        <v>57.325105859481603</v>
      </c>
      <c r="V38" s="7">
        <f>Overheads!Y9</f>
        <v>62.469127031377923</v>
      </c>
      <c r="W38" s="7">
        <f>Overheads!Z9</f>
        <v>65.974952437653513</v>
      </c>
      <c r="X38" s="7">
        <f>Overheads!AA9</f>
        <v>85.586492925184203</v>
      </c>
      <c r="Y38" s="7">
        <f>Overheads!AB9</f>
        <v>94.44974151022106</v>
      </c>
      <c r="Z38" s="7">
        <f>Overheads!AC9</f>
        <v>83.950189812265265</v>
      </c>
      <c r="AA38" s="7">
        <f>Overheads!AD9</f>
        <v>105.50827777471832</v>
      </c>
      <c r="AB38" s="7">
        <f>Overheads!AE9</f>
        <v>113.66762749614507</v>
      </c>
      <c r="AC38" s="7">
        <f>Overheads!AF9</f>
        <v>105.43192799537408</v>
      </c>
      <c r="AD38" s="7">
        <f>Overheads!AG9</f>
        <v>131.31418859444892</v>
      </c>
      <c r="AE38" s="7">
        <f>Overheads!AH9</f>
        <v>146.3205013133387</v>
      </c>
      <c r="AF38" s="7">
        <f>Overheads!AI9</f>
        <v>142.34422657600643</v>
      </c>
      <c r="AG38" s="7">
        <f>Overheads!AJ9</f>
        <v>173.39181939120772</v>
      </c>
      <c r="AH38" s="7">
        <f>Overheads!AK9</f>
        <v>192.00565576944922</v>
      </c>
      <c r="AI38" s="7">
        <f>Overheads!AL9</f>
        <v>210.92450942333909</v>
      </c>
      <c r="AJ38" s="7">
        <f>Overheads!AM9</f>
        <v>216.0091838080069</v>
      </c>
      <c r="AK38" s="7">
        <f>Overheads!AN9</f>
        <v>263.18112306960825</v>
      </c>
      <c r="AL38" s="7">
        <f>Overheads!AO9</f>
        <v>291.82584518352996</v>
      </c>
      <c r="AM38" s="7">
        <f>Overheads!AP9</f>
        <v>282.98151172023591</v>
      </c>
      <c r="AO38" s="7">
        <f>Overheads!AU9</f>
        <v>1911.2663591971559</v>
      </c>
      <c r="AP38" s="7">
        <f>Overheads!AV9</f>
        <v>4597.3876258368928</v>
      </c>
    </row>
    <row r="39" spans="1:42" ht="15.75" customHeight="1">
      <c r="A39" s="3"/>
      <c r="B39" s="4"/>
    </row>
    <row r="40" spans="1:42" ht="15.75" customHeight="1">
      <c r="A40" s="6" t="s">
        <v>30</v>
      </c>
      <c r="B40" s="4"/>
      <c r="D40" s="7">
        <f t="shared" ref="D40:AM40" si="18">D35-D38</f>
        <v>-894822.4444444445</v>
      </c>
      <c r="E40" s="7">
        <f t="shared" si="18"/>
        <v>-766900.2177777777</v>
      </c>
      <c r="F40" s="7">
        <f t="shared" si="18"/>
        <v>-762928.15111111116</v>
      </c>
      <c r="G40" s="7">
        <f t="shared" si="18"/>
        <v>-1582208.1</v>
      </c>
      <c r="H40" s="7">
        <f t="shared" si="18"/>
        <v>-283114.95333333331</v>
      </c>
      <c r="I40" s="7">
        <f t="shared" si="18"/>
        <v>-1985829.6000000003</v>
      </c>
      <c r="J40" s="7">
        <f t="shared" si="18"/>
        <v>-781316.2933333331</v>
      </c>
      <c r="K40" s="7">
        <f t="shared" si="18"/>
        <v>-1207899.3866666669</v>
      </c>
      <c r="L40" s="7">
        <f t="shared" si="18"/>
        <v>-2386384.1493333336</v>
      </c>
      <c r="M40" s="7">
        <f t="shared" si="18"/>
        <v>-1093961.9912000003</v>
      </c>
      <c r="N40" s="7">
        <f t="shared" si="18"/>
        <v>-968571.28810666711</v>
      </c>
      <c r="O40" s="7">
        <f t="shared" si="18"/>
        <v>-939652.94706133346</v>
      </c>
      <c r="P40" s="7">
        <f t="shared" si="18"/>
        <v>-284761.26729727961</v>
      </c>
      <c r="Q40" s="7">
        <f t="shared" si="18"/>
        <v>1149779.9601099303</v>
      </c>
      <c r="R40" s="7">
        <f t="shared" si="18"/>
        <v>-1669831.7817347501</v>
      </c>
      <c r="S40" s="7">
        <f t="shared" si="18"/>
        <v>105186.39471830019</v>
      </c>
      <c r="T40" s="7">
        <f t="shared" si="18"/>
        <v>308237.53852862708</v>
      </c>
      <c r="U40" s="7">
        <f t="shared" si="18"/>
        <v>639589.76236768556</v>
      </c>
      <c r="V40" s="7">
        <f t="shared" si="18"/>
        <v>578266.67084122228</v>
      </c>
      <c r="W40" s="7">
        <f t="shared" si="18"/>
        <v>863406.47967613419</v>
      </c>
      <c r="X40" s="7">
        <f t="shared" si="18"/>
        <v>2276503.4871446937</v>
      </c>
      <c r="Y40" s="7">
        <f t="shared" si="18"/>
        <v>2361828.4163736328</v>
      </c>
      <c r="Z40" s="7">
        <f t="shared" si="18"/>
        <v>1221615.8083150268</v>
      </c>
      <c r="AA40" s="7">
        <f t="shared" si="18"/>
        <v>2727141.247511365</v>
      </c>
      <c r="AB40" s="7">
        <f t="shared" si="18"/>
        <v>2696871.1477209865</v>
      </c>
      <c r="AC40" s="7">
        <f t="shared" si="18"/>
        <v>1902903.8499651831</v>
      </c>
      <c r="AD40" s="7">
        <f t="shared" si="18"/>
        <v>3636097.4303915547</v>
      </c>
      <c r="AE40" s="7">
        <f t="shared" si="18"/>
        <v>4376278.1946365312</v>
      </c>
      <c r="AF40" s="7">
        <f t="shared" si="18"/>
        <v>3765913.9656638377</v>
      </c>
      <c r="AG40" s="7">
        <f t="shared" si="18"/>
        <v>5742535.9171199379</v>
      </c>
      <c r="AH40" s="7">
        <f t="shared" si="18"/>
        <v>6528527.5031005908</v>
      </c>
      <c r="AI40" s="7">
        <f t="shared" si="18"/>
        <v>7559083.5086107077</v>
      </c>
      <c r="AJ40" s="7">
        <f t="shared" si="18"/>
        <v>6849304.3787561832</v>
      </c>
      <c r="AK40" s="7">
        <f t="shared" si="18"/>
        <v>10026597.202784086</v>
      </c>
      <c r="AL40" s="7">
        <f t="shared" si="18"/>
        <v>11478263.027330907</v>
      </c>
      <c r="AM40" s="7">
        <f t="shared" si="18"/>
        <v>10929934.558120424</v>
      </c>
      <c r="AO40" s="7">
        <f t="shared" ref="AO40:AP40" si="19">AO35-AO38</f>
        <v>38539664.980540372</v>
      </c>
      <c r="AP40" s="7">
        <f t="shared" si="19"/>
        <v>153935847.8159925</v>
      </c>
    </row>
    <row r="41" spans="1:42" ht="15.75" customHeight="1">
      <c r="A41" s="69" t="s">
        <v>31</v>
      </c>
      <c r="B41" s="69"/>
      <c r="D41" s="72">
        <f t="shared" ref="D41:AM41" si="20">D40/D16</f>
        <v>-0.59654829629629635</v>
      </c>
      <c r="E41" s="72">
        <f t="shared" si="20"/>
        <v>-0.4950937493723549</v>
      </c>
      <c r="F41" s="72">
        <f t="shared" si="20"/>
        <v>-0.48164656004489342</v>
      </c>
      <c r="G41" s="72">
        <f t="shared" si="20"/>
        <v>-0.8681525925925927</v>
      </c>
      <c r="H41" s="72">
        <f t="shared" si="20"/>
        <v>-8.4147704958636743E-2</v>
      </c>
      <c r="I41" s="72">
        <f t="shared" si="20"/>
        <v>-1.0397013612565447</v>
      </c>
      <c r="J41" s="72">
        <f t="shared" si="20"/>
        <v>-0.21312501182033092</v>
      </c>
      <c r="K41" s="72">
        <f t="shared" si="20"/>
        <v>-0.32322702345910276</v>
      </c>
      <c r="L41" s="72">
        <f t="shared" si="20"/>
        <v>-1.0336932120477058</v>
      </c>
      <c r="M41" s="72">
        <f t="shared" si="20"/>
        <v>-0.26694891464658549</v>
      </c>
      <c r="N41" s="72">
        <f t="shared" si="20"/>
        <v>-0.23089676422816954</v>
      </c>
      <c r="O41" s="72">
        <f t="shared" si="20"/>
        <v>-0.21857025773957808</v>
      </c>
      <c r="P41" s="72">
        <f t="shared" si="20"/>
        <v>-6.318898213613254E-2</v>
      </c>
      <c r="Q41" s="72">
        <f t="shared" si="20"/>
        <v>0.18436723733775859</v>
      </c>
      <c r="R41" s="72">
        <f t="shared" si="20"/>
        <v>-0.51272969637984356</v>
      </c>
      <c r="S41" s="72">
        <f t="shared" si="20"/>
        <v>2.0049945588597757E-2</v>
      </c>
      <c r="T41" s="72">
        <f t="shared" si="20"/>
        <v>5.6272194607411924E-2</v>
      </c>
      <c r="U41" s="72">
        <f t="shared" si="20"/>
        <v>0.11157236480914359</v>
      </c>
      <c r="V41" s="72">
        <f t="shared" si="20"/>
        <v>9.256839311213072E-2</v>
      </c>
      <c r="W41" s="72">
        <f t="shared" si="20"/>
        <v>0.13086882942311409</v>
      </c>
      <c r="X41" s="72">
        <f t="shared" si="20"/>
        <v>0.26598864018586543</v>
      </c>
      <c r="Y41" s="72">
        <f t="shared" si="20"/>
        <v>0.25006192485111706</v>
      </c>
      <c r="Z41" s="72">
        <f t="shared" si="20"/>
        <v>0.14551674165917688</v>
      </c>
      <c r="AA41" s="72">
        <f t="shared" si="20"/>
        <v>0.25847652004465166</v>
      </c>
      <c r="AB41" s="72">
        <f t="shared" si="20"/>
        <v>0.23725938573077443</v>
      </c>
      <c r="AC41" s="72">
        <f t="shared" si="20"/>
        <v>0.18048648887922022</v>
      </c>
      <c r="AD41" s="72">
        <f t="shared" si="20"/>
        <v>0.27690057482069114</v>
      </c>
      <c r="AE41" s="72">
        <f t="shared" si="20"/>
        <v>0.29908851837959</v>
      </c>
      <c r="AF41" s="72">
        <f t="shared" si="20"/>
        <v>0.26456387141581628</v>
      </c>
      <c r="AG41" s="72">
        <f t="shared" si="20"/>
        <v>0.33118839961899199</v>
      </c>
      <c r="AH41" s="72">
        <f t="shared" si="20"/>
        <v>0.34001745818048817</v>
      </c>
      <c r="AI41" s="72">
        <f t="shared" si="20"/>
        <v>0.35837862225101308</v>
      </c>
      <c r="AJ41" s="72">
        <f t="shared" si="20"/>
        <v>0.31708394328474371</v>
      </c>
      <c r="AK41" s="72">
        <f t="shared" si="20"/>
        <v>0.38097706574996915</v>
      </c>
      <c r="AL41" s="72">
        <f t="shared" si="20"/>
        <v>0.39332578716981703</v>
      </c>
      <c r="AM41" s="72">
        <f t="shared" si="20"/>
        <v>0.38624200187770885</v>
      </c>
      <c r="AO41" s="72">
        <f t="shared" ref="AO41:AP41" si="21">AO40/AO16</f>
        <v>0.20164465719330349</v>
      </c>
      <c r="AP41" s="72">
        <f t="shared" si="21"/>
        <v>0.33483330174485898</v>
      </c>
    </row>
    <row r="42" spans="1:42" ht="15.75" customHeight="1">
      <c r="A42" s="4"/>
      <c r="B42" s="4"/>
      <c r="AN42" s="74"/>
    </row>
    <row r="43" spans="1:42" ht="15.75" customHeight="1">
      <c r="A43" s="3" t="s">
        <v>32</v>
      </c>
      <c r="B43" s="13">
        <v>0.25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f>IF(SUM(D40:O40)*$B$43&lt;0,0,SUM(D40:O40)*$B$43)</f>
        <v>0</v>
      </c>
      <c r="P43" s="7">
        <f>IF(($B$43*P40)&lt;0,0,($B$43*P40))</f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f>IF(SUM(P40:AA40)*$B$43&lt;0,0,SUM(P40:AA40)*$B$43)</f>
        <v>2569240.6791386469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f>IF(SUM(AB40:AM40)*$B$43&lt;0,0,SUM(AB40:AM40)*$B$43)</f>
        <v>18873077.671050232</v>
      </c>
      <c r="AN43" s="7"/>
      <c r="AO43" s="7">
        <f t="shared" ref="AO43:AP43" si="22">IF(($B$43*AO40)&lt;0,0,($B$43*AO40))</f>
        <v>9634916.2451350931</v>
      </c>
      <c r="AP43" s="7">
        <f t="shared" si="22"/>
        <v>38483961.953998126</v>
      </c>
    </row>
    <row r="44" spans="1:42" ht="15.75" customHeight="1">
      <c r="A44" s="4"/>
      <c r="B44" s="4"/>
    </row>
    <row r="45" spans="1:42" ht="15.75" customHeight="1">
      <c r="A45" s="3" t="s">
        <v>33</v>
      </c>
      <c r="B45" s="4"/>
      <c r="D45" s="7">
        <f t="shared" ref="D45:AM45" si="23">D40-D43</f>
        <v>-894822.4444444445</v>
      </c>
      <c r="E45" s="7">
        <f t="shared" si="23"/>
        <v>-766900.2177777777</v>
      </c>
      <c r="F45" s="7">
        <f t="shared" si="23"/>
        <v>-762928.15111111116</v>
      </c>
      <c r="G45" s="7">
        <f t="shared" si="23"/>
        <v>-1582208.1</v>
      </c>
      <c r="H45" s="7">
        <f t="shared" si="23"/>
        <v>-283114.95333333331</v>
      </c>
      <c r="I45" s="7">
        <f t="shared" si="23"/>
        <v>-1985829.6000000003</v>
      </c>
      <c r="J45" s="7">
        <f t="shared" si="23"/>
        <v>-781316.2933333331</v>
      </c>
      <c r="K45" s="7">
        <f t="shared" si="23"/>
        <v>-1207899.3866666669</v>
      </c>
      <c r="L45" s="7">
        <f t="shared" si="23"/>
        <v>-2386384.1493333336</v>
      </c>
      <c r="M45" s="7">
        <f t="shared" si="23"/>
        <v>-1093961.9912000003</v>
      </c>
      <c r="N45" s="7">
        <f t="shared" si="23"/>
        <v>-968571.28810666711</v>
      </c>
      <c r="O45" s="7">
        <f t="shared" si="23"/>
        <v>-939652.94706133346</v>
      </c>
      <c r="P45" s="7">
        <f t="shared" si="23"/>
        <v>-284761.26729727961</v>
      </c>
      <c r="Q45" s="7">
        <f t="shared" si="23"/>
        <v>1149779.9601099303</v>
      </c>
      <c r="R45" s="7">
        <f t="shared" si="23"/>
        <v>-1669831.7817347501</v>
      </c>
      <c r="S45" s="7">
        <f t="shared" si="23"/>
        <v>105186.39471830019</v>
      </c>
      <c r="T45" s="7">
        <f t="shared" si="23"/>
        <v>308237.53852862708</v>
      </c>
      <c r="U45" s="7">
        <f t="shared" si="23"/>
        <v>639589.76236768556</v>
      </c>
      <c r="V45" s="7">
        <f t="shared" si="23"/>
        <v>578266.67084122228</v>
      </c>
      <c r="W45" s="7">
        <f t="shared" si="23"/>
        <v>863406.47967613419</v>
      </c>
      <c r="X45" s="7">
        <f t="shared" si="23"/>
        <v>2276503.4871446937</v>
      </c>
      <c r="Y45" s="7">
        <f t="shared" si="23"/>
        <v>2361828.4163736328</v>
      </c>
      <c r="Z45" s="7">
        <f t="shared" si="23"/>
        <v>1221615.8083150268</v>
      </c>
      <c r="AA45" s="7">
        <f t="shared" si="23"/>
        <v>157900.56837271806</v>
      </c>
      <c r="AB45" s="7">
        <f t="shared" si="23"/>
        <v>2696871.1477209865</v>
      </c>
      <c r="AC45" s="7">
        <f t="shared" si="23"/>
        <v>1902903.8499651831</v>
      </c>
      <c r="AD45" s="7">
        <f t="shared" si="23"/>
        <v>3636097.4303915547</v>
      </c>
      <c r="AE45" s="7">
        <f t="shared" si="23"/>
        <v>4376278.1946365312</v>
      </c>
      <c r="AF45" s="7">
        <f t="shared" si="23"/>
        <v>3765913.9656638377</v>
      </c>
      <c r="AG45" s="7">
        <f t="shared" si="23"/>
        <v>5742535.9171199379</v>
      </c>
      <c r="AH45" s="7">
        <f t="shared" si="23"/>
        <v>6528527.5031005908</v>
      </c>
      <c r="AI45" s="7">
        <f t="shared" si="23"/>
        <v>7559083.5086107077</v>
      </c>
      <c r="AJ45" s="7">
        <f t="shared" si="23"/>
        <v>6849304.3787561832</v>
      </c>
      <c r="AK45" s="7">
        <f t="shared" si="23"/>
        <v>10026597.202784086</v>
      </c>
      <c r="AL45" s="7">
        <f t="shared" si="23"/>
        <v>11478263.027330907</v>
      </c>
      <c r="AM45" s="7">
        <f t="shared" si="23"/>
        <v>-7943143.112929808</v>
      </c>
      <c r="AN45" s="7"/>
      <c r="AO45" s="7">
        <f t="shared" ref="AO45:AP45" si="24">AO40-AO43</f>
        <v>28904748.735405281</v>
      </c>
      <c r="AP45" s="7">
        <f t="shared" si="24"/>
        <v>115451885.86199439</v>
      </c>
    </row>
    <row r="46" spans="1:42" ht="15.75" customHeight="1">
      <c r="A46" s="69" t="s">
        <v>34</v>
      </c>
      <c r="B46" s="69"/>
      <c r="D46" s="72">
        <f t="shared" ref="D46:AM46" si="25">D45/D16</f>
        <v>-0.59654829629629635</v>
      </c>
      <c r="E46" s="72">
        <f t="shared" si="25"/>
        <v>-0.4950937493723549</v>
      </c>
      <c r="F46" s="72">
        <f t="shared" si="25"/>
        <v>-0.48164656004489342</v>
      </c>
      <c r="G46" s="72">
        <f t="shared" si="25"/>
        <v>-0.8681525925925927</v>
      </c>
      <c r="H46" s="72">
        <f t="shared" si="25"/>
        <v>-8.4147704958636743E-2</v>
      </c>
      <c r="I46" s="72">
        <f t="shared" si="25"/>
        <v>-1.0397013612565447</v>
      </c>
      <c r="J46" s="72">
        <f t="shared" si="25"/>
        <v>-0.21312501182033092</v>
      </c>
      <c r="K46" s="72">
        <f t="shared" si="25"/>
        <v>-0.32322702345910276</v>
      </c>
      <c r="L46" s="72">
        <f t="shared" si="25"/>
        <v>-1.0336932120477058</v>
      </c>
      <c r="M46" s="72">
        <f t="shared" si="25"/>
        <v>-0.26694891464658549</v>
      </c>
      <c r="N46" s="72">
        <f t="shared" si="25"/>
        <v>-0.23089676422816954</v>
      </c>
      <c r="O46" s="72">
        <f t="shared" si="25"/>
        <v>-0.21857025773957808</v>
      </c>
      <c r="P46" s="72">
        <f t="shared" si="25"/>
        <v>-6.318898213613254E-2</v>
      </c>
      <c r="Q46" s="72">
        <f t="shared" si="25"/>
        <v>0.18436723733775859</v>
      </c>
      <c r="R46" s="72">
        <f t="shared" si="25"/>
        <v>-0.51272969637984356</v>
      </c>
      <c r="S46" s="72">
        <f t="shared" si="25"/>
        <v>2.0049945588597757E-2</v>
      </c>
      <c r="T46" s="72">
        <f t="shared" si="25"/>
        <v>5.6272194607411924E-2</v>
      </c>
      <c r="U46" s="72">
        <f t="shared" si="25"/>
        <v>0.11157236480914359</v>
      </c>
      <c r="V46" s="72">
        <f t="shared" si="25"/>
        <v>9.256839311213072E-2</v>
      </c>
      <c r="W46" s="72">
        <f t="shared" si="25"/>
        <v>0.13086882942311409</v>
      </c>
      <c r="X46" s="72">
        <f t="shared" si="25"/>
        <v>0.26598864018586543</v>
      </c>
      <c r="Y46" s="72">
        <f t="shared" si="25"/>
        <v>0.25006192485111706</v>
      </c>
      <c r="Z46" s="72">
        <f t="shared" si="25"/>
        <v>0.14551674165917688</v>
      </c>
      <c r="AA46" s="72">
        <f t="shared" si="25"/>
        <v>1.4965704274869122E-2</v>
      </c>
      <c r="AB46" s="72">
        <f t="shared" si="25"/>
        <v>0.23725938573077443</v>
      </c>
      <c r="AC46" s="72">
        <f t="shared" si="25"/>
        <v>0.18048648887922022</v>
      </c>
      <c r="AD46" s="72">
        <f t="shared" si="25"/>
        <v>0.27690057482069114</v>
      </c>
      <c r="AE46" s="72">
        <f t="shared" si="25"/>
        <v>0.29908851837959</v>
      </c>
      <c r="AF46" s="72">
        <f t="shared" si="25"/>
        <v>0.26456387141581628</v>
      </c>
      <c r="AG46" s="72">
        <f t="shared" si="25"/>
        <v>0.33118839961899199</v>
      </c>
      <c r="AH46" s="72">
        <f t="shared" si="25"/>
        <v>0.34001745818048817</v>
      </c>
      <c r="AI46" s="72">
        <f t="shared" si="25"/>
        <v>0.35837862225101308</v>
      </c>
      <c r="AJ46" s="72">
        <f t="shared" si="25"/>
        <v>0.31708394328474371</v>
      </c>
      <c r="AK46" s="72">
        <f t="shared" si="25"/>
        <v>0.38097706574996915</v>
      </c>
      <c r="AL46" s="72">
        <f t="shared" si="25"/>
        <v>0.39332578716981703</v>
      </c>
      <c r="AM46" s="72">
        <f t="shared" si="25"/>
        <v>-0.28069477276602578</v>
      </c>
      <c r="AO46" s="72">
        <f t="shared" ref="AO46:AP46" si="26">AO45/AO16</f>
        <v>0.15123349289497762</v>
      </c>
      <c r="AP46" s="72">
        <f t="shared" si="26"/>
        <v>0.25112497630864428</v>
      </c>
    </row>
    <row r="47" spans="1:42" ht="15.75" customHeight="1">
      <c r="A47" s="4"/>
      <c r="B47" s="4"/>
    </row>
    <row r="48" spans="1:42" ht="15.75" customHeight="1">
      <c r="A48" s="4"/>
      <c r="B48" s="4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49" spans="1:2" ht="15.75" customHeight="1">
      <c r="A49" s="4"/>
      <c r="B49" s="4"/>
    </row>
    <row r="50" spans="1:2" ht="15.75" customHeight="1">
      <c r="A50" s="4"/>
      <c r="B50" s="4"/>
    </row>
    <row r="51" spans="1:2" ht="15.75" customHeight="1">
      <c r="A51" s="4"/>
      <c r="B51" s="4"/>
    </row>
    <row r="52" spans="1:2" ht="15.75" customHeight="1">
      <c r="A52" s="4"/>
      <c r="B52" s="4"/>
    </row>
    <row r="53" spans="1:2" ht="15.75" customHeight="1">
      <c r="A53" s="4"/>
      <c r="B53" s="4"/>
    </row>
    <row r="54" spans="1:2" ht="15.75" customHeight="1">
      <c r="A54" s="4"/>
      <c r="B54" s="4"/>
    </row>
    <row r="55" spans="1:2" ht="15.75" customHeight="1">
      <c r="A55" s="4"/>
      <c r="B55" s="4"/>
    </row>
    <row r="56" spans="1:2" ht="15.75" customHeight="1">
      <c r="A56" s="4"/>
      <c r="B56" s="4"/>
    </row>
    <row r="57" spans="1:2" ht="15.75" customHeight="1">
      <c r="A57" s="4"/>
      <c r="B57" s="4"/>
    </row>
    <row r="58" spans="1:2" ht="15.75" customHeight="1">
      <c r="A58" s="4"/>
      <c r="B58" s="4"/>
    </row>
    <row r="59" spans="1:2" ht="15.75" customHeight="1">
      <c r="A59" s="4"/>
      <c r="B59" s="4"/>
    </row>
    <row r="60" spans="1:2" ht="15.75" customHeight="1">
      <c r="A60" s="4"/>
      <c r="B60" s="4"/>
    </row>
    <row r="61" spans="1:2" ht="15.75" customHeight="1">
      <c r="A61" s="4"/>
      <c r="B61" s="4"/>
    </row>
    <row r="62" spans="1:2" ht="15.75" customHeight="1">
      <c r="A62" s="4"/>
      <c r="B62" s="4"/>
    </row>
    <row r="63" spans="1:2" ht="15.75" customHeight="1">
      <c r="A63" s="4"/>
      <c r="B63" s="4"/>
    </row>
    <row r="64" spans="1:2" ht="15.75" customHeight="1">
      <c r="A64" s="4"/>
      <c r="B64" s="4"/>
    </row>
    <row r="65" spans="1:2" ht="15.75" customHeight="1">
      <c r="A65" s="4"/>
      <c r="B65" s="4"/>
    </row>
    <row r="66" spans="1:2" ht="15.75" customHeight="1">
      <c r="A66" s="4"/>
      <c r="B66" s="4"/>
    </row>
    <row r="67" spans="1:2" ht="15.75" customHeight="1">
      <c r="A67" s="4"/>
      <c r="B67" s="4"/>
    </row>
    <row r="68" spans="1:2" ht="15.75" customHeight="1">
      <c r="A68" s="4"/>
      <c r="B68" s="4"/>
    </row>
    <row r="69" spans="1:2" ht="15.75" customHeight="1">
      <c r="A69" s="4"/>
      <c r="B69" s="4"/>
    </row>
    <row r="70" spans="1:2" ht="15.75" customHeight="1">
      <c r="A70" s="4"/>
      <c r="B70" s="4"/>
    </row>
    <row r="71" spans="1:2" ht="15.75" customHeight="1">
      <c r="A71" s="4"/>
      <c r="B71" s="4"/>
    </row>
    <row r="72" spans="1:2" ht="15.75" customHeight="1">
      <c r="A72" s="4"/>
      <c r="B72" s="4"/>
    </row>
    <row r="73" spans="1:2" ht="15.75" customHeight="1">
      <c r="A73" s="4"/>
      <c r="B73" s="4"/>
    </row>
    <row r="74" spans="1:2" ht="15.75" customHeight="1">
      <c r="A74" s="4"/>
      <c r="B74" s="4"/>
    </row>
    <row r="75" spans="1:2" ht="15.75" customHeight="1">
      <c r="A75" s="4"/>
      <c r="B75" s="4"/>
    </row>
    <row r="76" spans="1:2" ht="15.75" customHeight="1">
      <c r="A76" s="4"/>
      <c r="B76" s="4"/>
    </row>
    <row r="77" spans="1:2" ht="15.75" customHeight="1">
      <c r="A77" s="4"/>
      <c r="B77" s="4"/>
    </row>
    <row r="78" spans="1:2" ht="15.75" customHeight="1">
      <c r="A78" s="4"/>
      <c r="B78" s="4"/>
    </row>
    <row r="79" spans="1:2" ht="15.75" customHeight="1">
      <c r="A79" s="4"/>
      <c r="B79" s="4"/>
    </row>
    <row r="80" spans="1:2" ht="15.75" customHeight="1">
      <c r="A80" s="4"/>
      <c r="B80" s="4"/>
    </row>
    <row r="81" spans="1:2" ht="15.75" customHeight="1">
      <c r="A81" s="4"/>
      <c r="B81" s="4"/>
    </row>
    <row r="82" spans="1:2" ht="15.75" customHeight="1">
      <c r="A82" s="4"/>
      <c r="B82" s="4"/>
    </row>
    <row r="83" spans="1:2" ht="15.75" customHeight="1">
      <c r="A83" s="4"/>
      <c r="B83" s="4"/>
    </row>
    <row r="84" spans="1:2" ht="15.75" customHeight="1">
      <c r="A84" s="4"/>
      <c r="B84" s="4"/>
    </row>
    <row r="85" spans="1:2" ht="15.75" customHeight="1">
      <c r="A85" s="4"/>
      <c r="B85" s="4"/>
    </row>
    <row r="86" spans="1:2" ht="15.75" customHeight="1">
      <c r="A86" s="4"/>
      <c r="B86" s="4"/>
    </row>
    <row r="87" spans="1:2" ht="15.75" customHeight="1">
      <c r="A87" s="4"/>
      <c r="B87" s="4"/>
    </row>
    <row r="88" spans="1:2" ht="15.75" customHeight="1">
      <c r="A88" s="4"/>
      <c r="B88" s="4"/>
    </row>
    <row r="89" spans="1:2" ht="15.75" customHeight="1">
      <c r="A89" s="4"/>
      <c r="B89" s="4"/>
    </row>
    <row r="90" spans="1:2" ht="15.75" customHeight="1">
      <c r="A90" s="4"/>
      <c r="B90" s="4"/>
    </row>
    <row r="91" spans="1:2" ht="15.75" customHeight="1">
      <c r="A91" s="4"/>
      <c r="B91" s="4"/>
    </row>
    <row r="92" spans="1:2" ht="15.75" customHeight="1">
      <c r="A92" s="4"/>
      <c r="B92" s="4"/>
    </row>
    <row r="93" spans="1:2" ht="15.75" customHeight="1">
      <c r="A93" s="4"/>
      <c r="B93" s="4"/>
    </row>
    <row r="94" spans="1:2" ht="15.75" customHeight="1">
      <c r="A94" s="4"/>
      <c r="B94" s="4"/>
    </row>
    <row r="95" spans="1:2" ht="15.75" customHeight="1">
      <c r="A95" s="4"/>
      <c r="B95" s="4"/>
    </row>
    <row r="96" spans="1:2" ht="15.75" customHeight="1">
      <c r="A96" s="4"/>
      <c r="B96" s="4"/>
    </row>
    <row r="97" spans="1:2" ht="15.75" customHeight="1">
      <c r="A97" s="4"/>
      <c r="B97" s="4"/>
    </row>
    <row r="98" spans="1:2" ht="15.75" customHeight="1">
      <c r="A98" s="4"/>
      <c r="B98" s="4"/>
    </row>
    <row r="99" spans="1:2" ht="15.75" customHeight="1">
      <c r="A99" s="4"/>
      <c r="B99" s="4"/>
    </row>
    <row r="100" spans="1:2" ht="15.75" customHeight="1">
      <c r="A100" s="4"/>
      <c r="B100" s="4"/>
    </row>
    <row r="101" spans="1:2" ht="15.75" customHeight="1">
      <c r="A101" s="4"/>
      <c r="B101" s="4"/>
    </row>
    <row r="102" spans="1:2" ht="15.75" customHeight="1">
      <c r="A102" s="4"/>
      <c r="B102" s="4"/>
    </row>
    <row r="103" spans="1:2" ht="15.75" customHeight="1">
      <c r="A103" s="4"/>
      <c r="B103" s="4"/>
    </row>
    <row r="104" spans="1:2" ht="15.75" customHeight="1">
      <c r="A104" s="4"/>
      <c r="B104" s="4"/>
    </row>
    <row r="105" spans="1:2" ht="15.75" customHeight="1">
      <c r="A105" s="4"/>
      <c r="B105" s="4"/>
    </row>
    <row r="106" spans="1:2" ht="15.75" customHeight="1">
      <c r="A106" s="4"/>
      <c r="B106" s="4"/>
    </row>
    <row r="107" spans="1:2" ht="15.75" customHeight="1">
      <c r="A107" s="4"/>
      <c r="B107" s="4"/>
    </row>
    <row r="108" spans="1:2" ht="15.75" customHeight="1">
      <c r="A108" s="4"/>
      <c r="B108" s="4"/>
    </row>
    <row r="109" spans="1:2" ht="15.75" customHeight="1">
      <c r="A109" s="4"/>
      <c r="B109" s="4"/>
    </row>
    <row r="110" spans="1:2" ht="15.75" customHeight="1">
      <c r="A110" s="4"/>
      <c r="B110" s="4"/>
    </row>
    <row r="111" spans="1:2" ht="15.75" customHeight="1">
      <c r="A111" s="4"/>
      <c r="B111" s="4"/>
    </row>
    <row r="112" spans="1:2" ht="15.75" customHeight="1">
      <c r="A112" s="4"/>
      <c r="B112" s="4"/>
    </row>
    <row r="113" spans="1:2" ht="15.75" customHeight="1">
      <c r="A113" s="4"/>
      <c r="B113" s="4"/>
    </row>
    <row r="114" spans="1:2" ht="15.75" customHeight="1">
      <c r="A114" s="4"/>
      <c r="B114" s="4"/>
    </row>
    <row r="115" spans="1:2" ht="15.75" customHeight="1">
      <c r="A115" s="4"/>
      <c r="B115" s="4"/>
    </row>
    <row r="116" spans="1:2" ht="15.75" customHeight="1">
      <c r="A116" s="4"/>
      <c r="B116" s="4"/>
    </row>
    <row r="117" spans="1:2" ht="15.75" customHeight="1">
      <c r="A117" s="4"/>
      <c r="B117" s="4"/>
    </row>
    <row r="118" spans="1:2" ht="15.75" customHeight="1">
      <c r="A118" s="4"/>
      <c r="B118" s="4"/>
    </row>
    <row r="119" spans="1:2" ht="15.75" customHeight="1">
      <c r="A119" s="4"/>
      <c r="B119" s="4"/>
    </row>
    <row r="120" spans="1:2" ht="15.75" customHeight="1">
      <c r="A120" s="4"/>
      <c r="B120" s="4"/>
    </row>
    <row r="121" spans="1:2" ht="15.75" customHeight="1">
      <c r="A121" s="4"/>
      <c r="B121" s="4"/>
    </row>
    <row r="122" spans="1:2" ht="15.75" customHeight="1">
      <c r="A122" s="4"/>
      <c r="B122" s="4"/>
    </row>
    <row r="123" spans="1:2" ht="15.75" customHeight="1">
      <c r="A123" s="4"/>
      <c r="B123" s="4"/>
    </row>
    <row r="124" spans="1:2" ht="15.75" customHeight="1">
      <c r="A124" s="4"/>
      <c r="B124" s="4"/>
    </row>
    <row r="125" spans="1:2" ht="15.75" customHeight="1">
      <c r="A125" s="4"/>
      <c r="B125" s="4"/>
    </row>
    <row r="126" spans="1:2" ht="15.75" customHeight="1">
      <c r="A126" s="4"/>
      <c r="B126" s="4"/>
    </row>
    <row r="127" spans="1:2" ht="15.75" customHeight="1">
      <c r="A127" s="4"/>
      <c r="B127" s="4"/>
    </row>
    <row r="128" spans="1:2" ht="15.75" customHeight="1">
      <c r="A128" s="4"/>
      <c r="B128" s="4"/>
    </row>
    <row r="129" spans="1:2" ht="15.75" customHeight="1">
      <c r="A129" s="4"/>
      <c r="B129" s="4"/>
    </row>
    <row r="130" spans="1:2" ht="15.75" customHeight="1">
      <c r="A130" s="4"/>
      <c r="B130" s="4"/>
    </row>
    <row r="131" spans="1:2" ht="15.75" customHeight="1">
      <c r="A131" s="4"/>
      <c r="B131" s="4"/>
    </row>
    <row r="132" spans="1:2" ht="15.75" customHeight="1">
      <c r="A132" s="4"/>
      <c r="B132" s="4"/>
    </row>
    <row r="133" spans="1:2" ht="15.75" customHeight="1">
      <c r="A133" s="4"/>
      <c r="B133" s="4"/>
    </row>
    <row r="134" spans="1:2" ht="15.75" customHeight="1">
      <c r="A134" s="4"/>
      <c r="B134" s="4"/>
    </row>
    <row r="135" spans="1:2" ht="15.75" customHeight="1">
      <c r="A135" s="4"/>
      <c r="B135" s="4"/>
    </row>
    <row r="136" spans="1:2" ht="15.75" customHeight="1">
      <c r="A136" s="4"/>
      <c r="B136" s="4"/>
    </row>
    <row r="137" spans="1:2" ht="15.75" customHeight="1">
      <c r="A137" s="4"/>
      <c r="B137" s="4"/>
    </row>
    <row r="138" spans="1:2" ht="15.75" customHeight="1">
      <c r="A138" s="4"/>
      <c r="B138" s="4"/>
    </row>
    <row r="139" spans="1:2" ht="15.75" customHeight="1">
      <c r="A139" s="4"/>
      <c r="B139" s="4"/>
    </row>
    <row r="140" spans="1:2" ht="15.75" customHeight="1">
      <c r="A140" s="4"/>
      <c r="B140" s="4"/>
    </row>
    <row r="141" spans="1:2" ht="15.75" customHeight="1">
      <c r="A141" s="4"/>
      <c r="B141" s="4"/>
    </row>
    <row r="142" spans="1:2" ht="15.75" customHeight="1">
      <c r="A142" s="4"/>
      <c r="B142" s="4"/>
    </row>
    <row r="143" spans="1:2" ht="15.75" customHeight="1">
      <c r="A143" s="4"/>
      <c r="B143" s="4"/>
    </row>
    <row r="144" spans="1:2" ht="15.75" customHeight="1">
      <c r="A144" s="4"/>
      <c r="B144" s="4"/>
    </row>
    <row r="145" spans="1:2" ht="15.75" customHeight="1">
      <c r="A145" s="4"/>
      <c r="B145" s="4"/>
    </row>
    <row r="146" spans="1:2" ht="15.75" customHeight="1">
      <c r="A146" s="4"/>
      <c r="B146" s="4"/>
    </row>
    <row r="147" spans="1:2" ht="15.75" customHeight="1">
      <c r="A147" s="4"/>
      <c r="B147" s="4"/>
    </row>
    <row r="148" spans="1:2" ht="15.75" customHeight="1">
      <c r="A148" s="4"/>
      <c r="B148" s="4"/>
    </row>
    <row r="149" spans="1:2" ht="15.75" customHeight="1">
      <c r="A149" s="4"/>
      <c r="B149" s="4"/>
    </row>
    <row r="150" spans="1:2" ht="15.75" customHeight="1">
      <c r="A150" s="4"/>
      <c r="B150" s="4"/>
    </row>
    <row r="151" spans="1:2" ht="15.75" customHeight="1">
      <c r="A151" s="4"/>
      <c r="B151" s="4"/>
    </row>
    <row r="152" spans="1:2" ht="15.75" customHeight="1">
      <c r="A152" s="4"/>
      <c r="B152" s="4"/>
    </row>
    <row r="153" spans="1:2" ht="15.75" customHeight="1">
      <c r="A153" s="4"/>
      <c r="B153" s="4"/>
    </row>
    <row r="154" spans="1:2" ht="15.75" customHeight="1">
      <c r="A154" s="4"/>
      <c r="B154" s="4"/>
    </row>
    <row r="155" spans="1:2" ht="15.75" customHeight="1">
      <c r="A155" s="4"/>
      <c r="B155" s="4"/>
    </row>
    <row r="156" spans="1:2" ht="15.75" customHeight="1">
      <c r="A156" s="4"/>
      <c r="B156" s="4"/>
    </row>
    <row r="157" spans="1:2" ht="15.75" customHeight="1">
      <c r="A157" s="4"/>
      <c r="B157" s="4"/>
    </row>
    <row r="158" spans="1:2" ht="15.75" customHeight="1">
      <c r="A158" s="4"/>
      <c r="B158" s="4"/>
    </row>
    <row r="159" spans="1:2" ht="15.75" customHeight="1">
      <c r="A159" s="4"/>
      <c r="B159" s="4"/>
    </row>
    <row r="160" spans="1:2" ht="15.75" customHeight="1">
      <c r="A160" s="4"/>
      <c r="B160" s="4"/>
    </row>
    <row r="161" spans="1:2" ht="15.75" customHeight="1">
      <c r="A161" s="4"/>
      <c r="B161" s="4"/>
    </row>
    <row r="162" spans="1:2" ht="15.75" customHeight="1">
      <c r="A162" s="4"/>
      <c r="B162" s="4"/>
    </row>
    <row r="163" spans="1:2" ht="15.75" customHeight="1">
      <c r="A163" s="4"/>
      <c r="B163" s="4"/>
    </row>
    <row r="164" spans="1:2" ht="15.75" customHeight="1">
      <c r="A164" s="4"/>
      <c r="B164" s="4"/>
    </row>
    <row r="165" spans="1:2" ht="15.75" customHeight="1">
      <c r="A165" s="4"/>
      <c r="B165" s="4"/>
    </row>
    <row r="166" spans="1:2" ht="15.75" customHeight="1">
      <c r="A166" s="4"/>
      <c r="B166" s="4"/>
    </row>
    <row r="167" spans="1:2" ht="15.75" customHeight="1">
      <c r="A167" s="4"/>
      <c r="B167" s="4"/>
    </row>
    <row r="168" spans="1:2" ht="15.75" customHeight="1">
      <c r="A168" s="4"/>
      <c r="B168" s="4"/>
    </row>
    <row r="169" spans="1:2" ht="15.75" customHeight="1">
      <c r="A169" s="4"/>
      <c r="B169" s="4"/>
    </row>
    <row r="170" spans="1:2" ht="15.75" customHeight="1">
      <c r="A170" s="4"/>
      <c r="B170" s="4"/>
    </row>
    <row r="171" spans="1:2" ht="15.75" customHeight="1">
      <c r="A171" s="4"/>
      <c r="B171" s="4"/>
    </row>
    <row r="172" spans="1:2" ht="15.75" customHeight="1">
      <c r="A172" s="4"/>
      <c r="B172" s="4"/>
    </row>
    <row r="173" spans="1:2" ht="15.75" customHeight="1">
      <c r="A173" s="4"/>
      <c r="B173" s="4"/>
    </row>
    <row r="174" spans="1:2" ht="15.75" customHeight="1">
      <c r="A174" s="4"/>
      <c r="B174" s="4"/>
    </row>
    <row r="175" spans="1:2" ht="15.75" customHeight="1">
      <c r="A175" s="4"/>
      <c r="B175" s="4"/>
    </row>
    <row r="176" spans="1:2" ht="15.75" customHeight="1">
      <c r="A176" s="4"/>
      <c r="B176" s="4"/>
    </row>
    <row r="177" spans="1:2" ht="15.75" customHeight="1">
      <c r="A177" s="4"/>
      <c r="B177" s="4"/>
    </row>
    <row r="178" spans="1:2" ht="15.75" customHeight="1">
      <c r="A178" s="4"/>
      <c r="B178" s="4"/>
    </row>
    <row r="179" spans="1:2" ht="15.75" customHeight="1">
      <c r="A179" s="4"/>
      <c r="B179" s="4"/>
    </row>
    <row r="180" spans="1:2" ht="15.75" customHeight="1">
      <c r="A180" s="4"/>
      <c r="B180" s="4"/>
    </row>
    <row r="181" spans="1:2" ht="15.75" customHeight="1">
      <c r="A181" s="4"/>
      <c r="B181" s="4"/>
    </row>
    <row r="182" spans="1:2" ht="15.75" customHeight="1">
      <c r="A182" s="4"/>
      <c r="B182" s="4"/>
    </row>
    <row r="183" spans="1:2" ht="15.75" customHeight="1">
      <c r="A183" s="4"/>
      <c r="B183" s="4"/>
    </row>
    <row r="184" spans="1:2" ht="15.75" customHeight="1">
      <c r="A184" s="4"/>
      <c r="B184" s="4"/>
    </row>
    <row r="185" spans="1:2" ht="15.75" customHeight="1">
      <c r="A185" s="4"/>
      <c r="B185" s="4"/>
    </row>
    <row r="186" spans="1:2" ht="15.75" customHeight="1">
      <c r="A186" s="4"/>
      <c r="B186" s="4"/>
    </row>
    <row r="187" spans="1:2" ht="15.75" customHeight="1">
      <c r="A187" s="4"/>
      <c r="B187" s="4"/>
    </row>
    <row r="188" spans="1:2" ht="15.75" customHeight="1">
      <c r="A188" s="4"/>
      <c r="B188" s="4"/>
    </row>
    <row r="189" spans="1:2" ht="15.75" customHeight="1">
      <c r="A189" s="4"/>
      <c r="B189" s="4"/>
    </row>
    <row r="190" spans="1:2" ht="15.75" customHeight="1">
      <c r="A190" s="4"/>
      <c r="B190" s="4"/>
    </row>
    <row r="191" spans="1:2" ht="15.75" customHeight="1">
      <c r="A191" s="4"/>
      <c r="B191" s="4"/>
    </row>
    <row r="192" spans="1:2" ht="15.75" customHeight="1">
      <c r="A192" s="4"/>
      <c r="B192" s="4"/>
    </row>
    <row r="193" spans="1:2" ht="15.75" customHeight="1">
      <c r="A193" s="4"/>
      <c r="B193" s="4"/>
    </row>
    <row r="194" spans="1:2" ht="15.75" customHeight="1">
      <c r="A194" s="4"/>
      <c r="B194" s="4"/>
    </row>
    <row r="195" spans="1:2" ht="15.75" customHeight="1">
      <c r="A195" s="4"/>
      <c r="B195" s="4"/>
    </row>
    <row r="196" spans="1:2" ht="15.75" customHeight="1">
      <c r="A196" s="4"/>
      <c r="B196" s="4"/>
    </row>
    <row r="197" spans="1:2" ht="15.75" customHeight="1">
      <c r="A197" s="4"/>
      <c r="B197" s="4"/>
    </row>
    <row r="198" spans="1:2" ht="15.75" customHeight="1">
      <c r="A198" s="4"/>
      <c r="B198" s="4"/>
    </row>
    <row r="199" spans="1:2" ht="15.75" customHeight="1">
      <c r="A199" s="4"/>
      <c r="B199" s="4"/>
    </row>
    <row r="200" spans="1:2" ht="15.75" customHeight="1">
      <c r="A200" s="4"/>
      <c r="B200" s="4"/>
    </row>
    <row r="201" spans="1:2" ht="15.75" customHeight="1">
      <c r="A201" s="4"/>
      <c r="B201" s="4"/>
    </row>
    <row r="202" spans="1:2" ht="15.75" customHeight="1">
      <c r="A202" s="4"/>
      <c r="B202" s="4"/>
    </row>
    <row r="203" spans="1:2" ht="15.75" customHeight="1">
      <c r="A203" s="4"/>
      <c r="B203" s="4"/>
    </row>
    <row r="204" spans="1:2" ht="15.75" customHeight="1">
      <c r="A204" s="4"/>
      <c r="B204" s="4"/>
    </row>
    <row r="205" spans="1:2" ht="15.75" customHeight="1">
      <c r="A205" s="4"/>
      <c r="B205" s="4"/>
    </row>
    <row r="206" spans="1:2" ht="15.75" customHeight="1">
      <c r="A206" s="4"/>
      <c r="B206" s="4"/>
    </row>
    <row r="207" spans="1:2" ht="15.75" customHeight="1">
      <c r="A207" s="4"/>
      <c r="B207" s="4"/>
    </row>
    <row r="208" spans="1:2" ht="15.75" customHeight="1">
      <c r="A208" s="4"/>
      <c r="B208" s="4"/>
    </row>
    <row r="209" spans="1:2" ht="15.75" customHeight="1">
      <c r="A209" s="4"/>
      <c r="B209" s="4"/>
    </row>
    <row r="210" spans="1:2" ht="15.75" customHeight="1">
      <c r="A210" s="4"/>
      <c r="B210" s="4"/>
    </row>
    <row r="211" spans="1:2" ht="15.75" customHeight="1">
      <c r="A211" s="4"/>
      <c r="B211" s="4"/>
    </row>
    <row r="212" spans="1:2" ht="15.75" customHeight="1">
      <c r="A212" s="4"/>
      <c r="B212" s="4"/>
    </row>
    <row r="213" spans="1:2" ht="15.75" customHeight="1">
      <c r="A213" s="4"/>
      <c r="B213" s="4"/>
    </row>
    <row r="214" spans="1:2" ht="15.75" customHeight="1">
      <c r="A214" s="4"/>
      <c r="B214" s="4"/>
    </row>
    <row r="215" spans="1:2" ht="15.75" customHeight="1">
      <c r="A215" s="4"/>
      <c r="B215" s="4"/>
    </row>
    <row r="216" spans="1:2" ht="15.75" customHeight="1">
      <c r="A216" s="4"/>
      <c r="B216" s="4"/>
    </row>
    <row r="217" spans="1:2" ht="15.75" customHeight="1">
      <c r="A217" s="4"/>
      <c r="B217" s="4"/>
    </row>
    <row r="218" spans="1:2" ht="15.75" customHeight="1">
      <c r="A218" s="4"/>
      <c r="B218" s="4"/>
    </row>
    <row r="219" spans="1:2" ht="15.75" customHeight="1">
      <c r="A219" s="4"/>
      <c r="B219" s="4"/>
    </row>
    <row r="220" spans="1:2" ht="15.75" customHeight="1">
      <c r="A220" s="4"/>
      <c r="B220" s="4"/>
    </row>
    <row r="221" spans="1:2" ht="15.75" customHeight="1">
      <c r="A221" s="4"/>
      <c r="B221" s="4"/>
    </row>
    <row r="222" spans="1:2" ht="15.75" customHeight="1">
      <c r="A222" s="4"/>
      <c r="B222" s="4"/>
    </row>
    <row r="223" spans="1:2" ht="15.75" customHeight="1">
      <c r="A223" s="4"/>
      <c r="B223" s="4"/>
    </row>
    <row r="224" spans="1:2" ht="15.75" customHeight="1">
      <c r="A224" s="4"/>
      <c r="B224" s="4"/>
    </row>
    <row r="225" spans="1:2" ht="15.75" customHeight="1">
      <c r="A225" s="4"/>
      <c r="B225" s="4"/>
    </row>
    <row r="226" spans="1:2" ht="15.75" customHeight="1">
      <c r="A226" s="4"/>
      <c r="B226" s="4"/>
    </row>
    <row r="227" spans="1:2" ht="15.75" customHeight="1">
      <c r="A227" s="4"/>
      <c r="B227" s="4"/>
    </row>
    <row r="228" spans="1:2" ht="15.75" customHeight="1">
      <c r="A228" s="4"/>
      <c r="B228" s="4"/>
    </row>
    <row r="229" spans="1:2" ht="15.75" customHeight="1">
      <c r="A229" s="4"/>
      <c r="B229" s="4"/>
    </row>
    <row r="230" spans="1:2" ht="15.75" customHeight="1">
      <c r="A230" s="4"/>
      <c r="B230" s="4"/>
    </row>
    <row r="231" spans="1:2" ht="15.75" customHeight="1">
      <c r="A231" s="4"/>
      <c r="B231" s="4"/>
    </row>
    <row r="232" spans="1:2" ht="15.75" customHeight="1">
      <c r="A232" s="4"/>
      <c r="B232" s="4"/>
    </row>
    <row r="233" spans="1:2" ht="15.75" customHeight="1">
      <c r="A233" s="4"/>
      <c r="B233" s="4"/>
    </row>
    <row r="234" spans="1:2" ht="15.75" customHeight="1">
      <c r="A234" s="4"/>
      <c r="B234" s="4"/>
    </row>
    <row r="235" spans="1:2" ht="15.75" customHeight="1">
      <c r="A235" s="4"/>
      <c r="B235" s="4"/>
    </row>
    <row r="236" spans="1:2" ht="15.75" customHeight="1">
      <c r="A236" s="4"/>
      <c r="B236" s="4"/>
    </row>
    <row r="237" spans="1:2" ht="15.75" customHeight="1">
      <c r="A237" s="4"/>
      <c r="B237" s="4"/>
    </row>
    <row r="238" spans="1:2" ht="15.75" customHeight="1">
      <c r="A238" s="4"/>
      <c r="B238" s="4"/>
    </row>
    <row r="239" spans="1:2" ht="15.75" customHeight="1">
      <c r="A239" s="4"/>
      <c r="B239" s="4"/>
    </row>
    <row r="240" spans="1:2" ht="15.75" customHeight="1">
      <c r="A240" s="4"/>
      <c r="B240" s="4"/>
    </row>
    <row r="241" spans="1:2" ht="15.75" customHeight="1">
      <c r="A241" s="4"/>
      <c r="B241" s="4"/>
    </row>
    <row r="242" spans="1:2" ht="15.75" customHeight="1">
      <c r="A242" s="4"/>
      <c r="B242" s="4"/>
    </row>
    <row r="243" spans="1:2" ht="15.75" customHeight="1">
      <c r="A243" s="4"/>
      <c r="B243" s="4"/>
    </row>
    <row r="244" spans="1:2" ht="15.75" customHeight="1">
      <c r="A244" s="4"/>
      <c r="B244" s="4"/>
    </row>
    <row r="245" spans="1:2" ht="15.75" customHeight="1">
      <c r="A245" s="4"/>
      <c r="B245" s="4"/>
    </row>
    <row r="246" spans="1:2" ht="15.75" customHeight="1">
      <c r="A246" s="4"/>
      <c r="B246" s="4"/>
    </row>
    <row r="247" spans="1:2" ht="15.75" customHeight="1">
      <c r="A247" s="4"/>
      <c r="B247" s="4"/>
    </row>
    <row r="248" spans="1:2" ht="15.75" customHeight="1">
      <c r="A248" s="4"/>
      <c r="B248" s="4"/>
    </row>
    <row r="249" spans="1:2" ht="15.75" customHeight="1">
      <c r="A249" s="4"/>
      <c r="B249" s="4"/>
    </row>
    <row r="250" spans="1:2" ht="15.75" customHeight="1">
      <c r="A250" s="4"/>
      <c r="B250" s="4"/>
    </row>
    <row r="251" spans="1:2" ht="15.75" customHeight="1">
      <c r="A251" s="4"/>
      <c r="B251" s="4"/>
    </row>
    <row r="252" spans="1:2" ht="15.75" customHeight="1">
      <c r="A252" s="4"/>
      <c r="B252" s="4"/>
    </row>
    <row r="253" spans="1:2" ht="15.75" customHeight="1">
      <c r="A253" s="4"/>
      <c r="B253" s="4"/>
    </row>
    <row r="254" spans="1:2" ht="15.75" customHeight="1">
      <c r="A254" s="4"/>
      <c r="B254" s="4"/>
    </row>
    <row r="255" spans="1:2" ht="15.75" customHeight="1">
      <c r="A255" s="4"/>
      <c r="B255" s="4"/>
    </row>
    <row r="256" spans="1:2" ht="15.75" customHeight="1">
      <c r="A256" s="4"/>
      <c r="B256" s="4"/>
    </row>
    <row r="257" spans="1:2" ht="15.75" customHeight="1">
      <c r="A257" s="4"/>
      <c r="B257" s="4"/>
    </row>
    <row r="258" spans="1:2" ht="15.75" customHeight="1">
      <c r="A258" s="4"/>
      <c r="B258" s="4"/>
    </row>
    <row r="259" spans="1:2" ht="15.75" customHeight="1">
      <c r="A259" s="4"/>
      <c r="B259" s="4"/>
    </row>
    <row r="260" spans="1:2" ht="15.75" customHeight="1">
      <c r="A260" s="4"/>
      <c r="B260" s="4"/>
    </row>
    <row r="261" spans="1:2" ht="15.75" customHeight="1">
      <c r="A261" s="4"/>
      <c r="B261" s="4"/>
    </row>
    <row r="262" spans="1:2" ht="15.75" customHeight="1">
      <c r="A262" s="4"/>
      <c r="B262" s="4"/>
    </row>
    <row r="263" spans="1:2" ht="15.75" customHeight="1">
      <c r="A263" s="4"/>
      <c r="B263" s="4"/>
    </row>
    <row r="264" spans="1:2" ht="15.75" customHeight="1">
      <c r="A264" s="4"/>
      <c r="B264" s="4"/>
    </row>
    <row r="265" spans="1:2" ht="15.75" customHeight="1">
      <c r="A265" s="4"/>
      <c r="B265" s="4"/>
    </row>
    <row r="266" spans="1:2" ht="15.75" customHeight="1">
      <c r="A266" s="4"/>
      <c r="B266" s="4"/>
    </row>
    <row r="267" spans="1:2" ht="15.75" customHeight="1">
      <c r="A267" s="4"/>
      <c r="B267" s="4"/>
    </row>
    <row r="268" spans="1:2" ht="15.75" customHeight="1">
      <c r="A268" s="4"/>
      <c r="B268" s="4"/>
    </row>
    <row r="269" spans="1:2" ht="15.75" customHeight="1">
      <c r="A269" s="4"/>
      <c r="B269" s="4"/>
    </row>
    <row r="270" spans="1:2" ht="15.75" customHeight="1">
      <c r="A270" s="4"/>
      <c r="B270" s="4"/>
    </row>
    <row r="271" spans="1:2" ht="15.75" customHeight="1">
      <c r="A271" s="4"/>
      <c r="B271" s="4"/>
    </row>
    <row r="272" spans="1:2" ht="15.75" customHeight="1">
      <c r="A272" s="4"/>
      <c r="B272" s="4"/>
    </row>
    <row r="273" spans="1:2" ht="15.75" customHeight="1">
      <c r="A273" s="4"/>
      <c r="B273" s="4"/>
    </row>
    <row r="274" spans="1:2" ht="15.75" customHeight="1">
      <c r="A274" s="4"/>
      <c r="B274" s="4"/>
    </row>
    <row r="275" spans="1:2" ht="15.75" customHeight="1">
      <c r="A275" s="4"/>
      <c r="B275" s="4"/>
    </row>
    <row r="276" spans="1:2" ht="15.75" customHeight="1">
      <c r="A276" s="4"/>
      <c r="B276" s="4"/>
    </row>
    <row r="277" spans="1:2" ht="15.75" customHeight="1">
      <c r="A277" s="4"/>
      <c r="B277" s="4"/>
    </row>
    <row r="278" spans="1:2" ht="15.75" customHeight="1">
      <c r="A278" s="4"/>
      <c r="B278" s="4"/>
    </row>
    <row r="279" spans="1:2" ht="15.75" customHeight="1">
      <c r="A279" s="4"/>
      <c r="B279" s="4"/>
    </row>
    <row r="280" spans="1:2" ht="15.75" customHeight="1">
      <c r="A280" s="4"/>
      <c r="B280" s="4"/>
    </row>
    <row r="281" spans="1:2" ht="15.75" customHeight="1">
      <c r="A281" s="4"/>
      <c r="B281" s="4"/>
    </row>
    <row r="282" spans="1:2" ht="15.75" customHeight="1">
      <c r="A282" s="4"/>
      <c r="B282" s="4"/>
    </row>
    <row r="283" spans="1:2" ht="15.75" customHeight="1">
      <c r="A283" s="4"/>
      <c r="B283" s="4"/>
    </row>
    <row r="284" spans="1:2" ht="15.75" customHeight="1">
      <c r="A284" s="4"/>
      <c r="B284" s="4"/>
    </row>
    <row r="285" spans="1:2" ht="15.75" customHeight="1">
      <c r="A285" s="4"/>
      <c r="B285" s="4"/>
    </row>
    <row r="286" spans="1:2" ht="15.75" customHeight="1">
      <c r="A286" s="4"/>
      <c r="B286" s="4"/>
    </row>
    <row r="287" spans="1:2" ht="15.75" customHeight="1">
      <c r="A287" s="4"/>
      <c r="B287" s="4"/>
    </row>
    <row r="288" spans="1:2" ht="15.75" customHeight="1">
      <c r="A288" s="4"/>
      <c r="B288" s="4"/>
    </row>
    <row r="289" spans="1:2" ht="15.75" customHeight="1">
      <c r="A289" s="4"/>
      <c r="B289" s="4"/>
    </row>
    <row r="290" spans="1:2" ht="15.75" customHeight="1">
      <c r="A290" s="4"/>
      <c r="B290" s="4"/>
    </row>
    <row r="291" spans="1:2" ht="15.75" customHeight="1">
      <c r="A291" s="4"/>
      <c r="B291" s="4"/>
    </row>
    <row r="292" spans="1:2" ht="15.75" customHeight="1">
      <c r="A292" s="4"/>
      <c r="B292" s="4"/>
    </row>
    <row r="293" spans="1:2" ht="15.75" customHeight="1">
      <c r="A293" s="4"/>
      <c r="B293" s="4"/>
    </row>
    <row r="294" spans="1:2" ht="15.75" customHeight="1">
      <c r="A294" s="4"/>
      <c r="B294" s="4"/>
    </row>
    <row r="295" spans="1:2" ht="15.75" customHeight="1">
      <c r="A295" s="4"/>
      <c r="B295" s="4"/>
    </row>
    <row r="296" spans="1:2" ht="15.75" customHeight="1">
      <c r="A296" s="4"/>
      <c r="B296" s="4"/>
    </row>
    <row r="297" spans="1:2" ht="15.75" customHeight="1">
      <c r="A297" s="4"/>
      <c r="B297" s="4"/>
    </row>
    <row r="298" spans="1:2" ht="15.75" customHeight="1">
      <c r="A298" s="4"/>
      <c r="B298" s="4"/>
    </row>
    <row r="299" spans="1:2" ht="15.75" customHeight="1">
      <c r="A299" s="4"/>
      <c r="B299" s="4"/>
    </row>
    <row r="300" spans="1:2" ht="15.75" customHeight="1">
      <c r="A300" s="4"/>
      <c r="B300" s="4"/>
    </row>
    <row r="301" spans="1:2" ht="15.75" customHeight="1">
      <c r="A301" s="4"/>
      <c r="B301" s="4"/>
    </row>
    <row r="302" spans="1:2" ht="15.75" customHeight="1">
      <c r="A302" s="4"/>
      <c r="B302" s="4"/>
    </row>
    <row r="303" spans="1:2" ht="15.75" customHeight="1">
      <c r="A303" s="4"/>
      <c r="B303" s="4"/>
    </row>
    <row r="304" spans="1:2" ht="15.75" customHeight="1">
      <c r="A304" s="4"/>
      <c r="B304" s="4"/>
    </row>
    <row r="305" spans="1:2" ht="15.75" customHeight="1">
      <c r="A305" s="4"/>
      <c r="B305" s="4"/>
    </row>
    <row r="306" spans="1:2" ht="15.75" customHeight="1">
      <c r="A306" s="4"/>
      <c r="B306" s="4"/>
    </row>
    <row r="307" spans="1:2" ht="15.75" customHeight="1">
      <c r="A307" s="4"/>
      <c r="B307" s="4"/>
    </row>
    <row r="308" spans="1:2" ht="15.75" customHeight="1">
      <c r="A308" s="4"/>
      <c r="B308" s="4"/>
    </row>
    <row r="309" spans="1:2" ht="15.75" customHeight="1">
      <c r="A309" s="4"/>
      <c r="B309" s="4"/>
    </row>
    <row r="310" spans="1:2" ht="15.75" customHeight="1">
      <c r="A310" s="4"/>
      <c r="B310" s="4"/>
    </row>
    <row r="311" spans="1:2" ht="15.75" customHeight="1">
      <c r="A311" s="4"/>
      <c r="B311" s="4"/>
    </row>
    <row r="312" spans="1:2" ht="15.75" customHeight="1">
      <c r="A312" s="4"/>
      <c r="B312" s="4"/>
    </row>
    <row r="313" spans="1:2" ht="15.75" customHeight="1">
      <c r="A313" s="4"/>
      <c r="B313" s="4"/>
    </row>
    <row r="314" spans="1:2" ht="15.75" customHeight="1">
      <c r="A314" s="4"/>
      <c r="B314" s="4"/>
    </row>
    <row r="315" spans="1:2" ht="15.75" customHeight="1">
      <c r="A315" s="4"/>
      <c r="B315" s="4"/>
    </row>
    <row r="316" spans="1:2" ht="15.75" customHeight="1">
      <c r="A316" s="4"/>
      <c r="B316" s="4"/>
    </row>
    <row r="317" spans="1:2" ht="15.75" customHeight="1">
      <c r="A317" s="4"/>
      <c r="B317" s="4"/>
    </row>
    <row r="318" spans="1:2" ht="15.75" customHeight="1">
      <c r="A318" s="4"/>
      <c r="B318" s="4"/>
    </row>
    <row r="319" spans="1:2" ht="15.75" customHeight="1">
      <c r="A319" s="4"/>
      <c r="B319" s="4"/>
    </row>
    <row r="320" spans="1:2" ht="15.75" customHeight="1">
      <c r="A320" s="4"/>
      <c r="B320" s="4"/>
    </row>
    <row r="321" spans="1:2" ht="15.75" customHeight="1">
      <c r="A321" s="4"/>
      <c r="B321" s="4"/>
    </row>
    <row r="322" spans="1:2" ht="15.75" customHeight="1">
      <c r="A322" s="4"/>
      <c r="B322" s="4"/>
    </row>
    <row r="323" spans="1:2" ht="15.75" customHeight="1">
      <c r="A323" s="4"/>
      <c r="B323" s="4"/>
    </row>
    <row r="324" spans="1:2" ht="15.75" customHeight="1">
      <c r="A324" s="4"/>
      <c r="B324" s="4"/>
    </row>
    <row r="325" spans="1:2" ht="15.75" customHeight="1">
      <c r="A325" s="4"/>
      <c r="B325" s="4"/>
    </row>
    <row r="326" spans="1:2" ht="15.75" customHeight="1">
      <c r="A326" s="4"/>
      <c r="B326" s="4"/>
    </row>
    <row r="327" spans="1:2" ht="15.75" customHeight="1">
      <c r="A327" s="4"/>
      <c r="B327" s="4"/>
    </row>
    <row r="328" spans="1:2" ht="15.75" customHeight="1">
      <c r="A328" s="4"/>
      <c r="B328" s="4"/>
    </row>
    <row r="329" spans="1:2" ht="15.75" customHeight="1">
      <c r="A329" s="4"/>
      <c r="B329" s="4"/>
    </row>
    <row r="330" spans="1:2" ht="15.75" customHeight="1">
      <c r="A330" s="4"/>
      <c r="B330" s="4"/>
    </row>
    <row r="331" spans="1:2" ht="15.75" customHeight="1">
      <c r="A331" s="4"/>
      <c r="B331" s="4"/>
    </row>
    <row r="332" spans="1:2" ht="15.75" customHeight="1">
      <c r="A332" s="4"/>
      <c r="B332" s="4"/>
    </row>
    <row r="333" spans="1:2" ht="15.75" customHeight="1">
      <c r="A333" s="4"/>
      <c r="B333" s="4"/>
    </row>
    <row r="334" spans="1:2" ht="15.75" customHeight="1">
      <c r="A334" s="4"/>
      <c r="B334" s="4"/>
    </row>
    <row r="335" spans="1:2" ht="15.75" customHeight="1">
      <c r="A335" s="4"/>
      <c r="B335" s="4"/>
    </row>
    <row r="336" spans="1:2" ht="15.75" customHeight="1">
      <c r="A336" s="4"/>
      <c r="B336" s="4"/>
    </row>
    <row r="337" spans="1:2" ht="15.75" customHeight="1">
      <c r="A337" s="4"/>
      <c r="B337" s="4"/>
    </row>
    <row r="338" spans="1:2" ht="15.75" customHeight="1">
      <c r="A338" s="4"/>
      <c r="B338" s="4"/>
    </row>
    <row r="339" spans="1:2" ht="15.75" customHeight="1">
      <c r="A339" s="4"/>
      <c r="B339" s="4"/>
    </row>
    <row r="340" spans="1:2" ht="15.75" customHeight="1">
      <c r="A340" s="4"/>
      <c r="B340" s="4"/>
    </row>
    <row r="341" spans="1:2" ht="15.75" customHeight="1">
      <c r="A341" s="4"/>
      <c r="B341" s="4"/>
    </row>
    <row r="342" spans="1:2" ht="15.75" customHeight="1">
      <c r="A342" s="4"/>
      <c r="B342" s="4"/>
    </row>
    <row r="343" spans="1:2" ht="15.75" customHeight="1">
      <c r="A343" s="4"/>
      <c r="B343" s="4"/>
    </row>
    <row r="344" spans="1:2" ht="15.75" customHeight="1">
      <c r="A344" s="4"/>
      <c r="B344" s="4"/>
    </row>
    <row r="345" spans="1:2" ht="15.75" customHeight="1">
      <c r="A345" s="4"/>
      <c r="B345" s="4"/>
    </row>
    <row r="346" spans="1:2" ht="15.75" customHeight="1">
      <c r="A346" s="4"/>
      <c r="B346" s="4"/>
    </row>
    <row r="347" spans="1:2" ht="15.75" customHeight="1">
      <c r="A347" s="4"/>
      <c r="B347" s="4"/>
    </row>
    <row r="348" spans="1:2" ht="15.75" customHeight="1">
      <c r="A348" s="4"/>
      <c r="B348" s="4"/>
    </row>
    <row r="349" spans="1:2" ht="15.75" customHeight="1">
      <c r="A349" s="4"/>
      <c r="B349" s="4"/>
    </row>
    <row r="350" spans="1:2" ht="15.75" customHeight="1">
      <c r="A350" s="4"/>
      <c r="B350" s="4"/>
    </row>
    <row r="351" spans="1:2" ht="15.75" customHeight="1">
      <c r="A351" s="4"/>
      <c r="B351" s="4"/>
    </row>
    <row r="352" spans="1:2" ht="15.75" customHeight="1">
      <c r="A352" s="4"/>
      <c r="B352" s="4"/>
    </row>
    <row r="353" spans="1:2" ht="15.75" customHeight="1">
      <c r="A353" s="4"/>
      <c r="B353" s="4"/>
    </row>
    <row r="354" spans="1:2" ht="15.75" customHeight="1">
      <c r="A354" s="4"/>
      <c r="B354" s="4"/>
    </row>
    <row r="355" spans="1:2" ht="15.75" customHeight="1">
      <c r="A355" s="4"/>
      <c r="B355" s="4"/>
    </row>
    <row r="356" spans="1:2" ht="15.75" customHeight="1">
      <c r="A356" s="4"/>
      <c r="B356" s="4"/>
    </row>
    <row r="357" spans="1:2" ht="15.75" customHeight="1">
      <c r="A357" s="4"/>
      <c r="B357" s="4"/>
    </row>
    <row r="358" spans="1:2" ht="15.75" customHeight="1">
      <c r="A358" s="4"/>
      <c r="B358" s="4"/>
    </row>
    <row r="359" spans="1:2" ht="15.75" customHeight="1">
      <c r="A359" s="4"/>
      <c r="B359" s="4"/>
    </row>
    <row r="360" spans="1:2" ht="15.75" customHeight="1">
      <c r="A360" s="4"/>
      <c r="B360" s="4"/>
    </row>
    <row r="361" spans="1:2" ht="15.75" customHeight="1">
      <c r="A361" s="4"/>
      <c r="B361" s="4"/>
    </row>
    <row r="362" spans="1:2" ht="15.75" customHeight="1">
      <c r="A362" s="4"/>
      <c r="B362" s="4"/>
    </row>
    <row r="363" spans="1:2" ht="15.75" customHeight="1">
      <c r="A363" s="4"/>
      <c r="B363" s="4"/>
    </row>
    <row r="364" spans="1:2" ht="15.75" customHeight="1">
      <c r="A364" s="4"/>
      <c r="B364" s="4"/>
    </row>
    <row r="365" spans="1:2" ht="15.75" customHeight="1">
      <c r="A365" s="4"/>
      <c r="B365" s="4"/>
    </row>
    <row r="366" spans="1:2" ht="15.75" customHeight="1">
      <c r="A366" s="4"/>
      <c r="B366" s="4"/>
    </row>
    <row r="367" spans="1:2" ht="15.75" customHeight="1">
      <c r="A367" s="4"/>
      <c r="B367" s="4"/>
    </row>
    <row r="368" spans="1:2" ht="15.75" customHeight="1">
      <c r="A368" s="4"/>
      <c r="B368" s="4"/>
    </row>
    <row r="369" spans="1:2" ht="15.75" customHeight="1">
      <c r="A369" s="4"/>
      <c r="B369" s="4"/>
    </row>
    <row r="370" spans="1:2" ht="15.75" customHeight="1">
      <c r="A370" s="4"/>
      <c r="B370" s="4"/>
    </row>
    <row r="371" spans="1:2" ht="15.75" customHeight="1">
      <c r="A371" s="4"/>
      <c r="B371" s="4"/>
    </row>
    <row r="372" spans="1:2" ht="15.75" customHeight="1">
      <c r="A372" s="4"/>
      <c r="B372" s="4"/>
    </row>
    <row r="373" spans="1:2" ht="15.75" customHeight="1">
      <c r="A373" s="4"/>
      <c r="B373" s="4"/>
    </row>
    <row r="374" spans="1:2" ht="15.75" customHeight="1">
      <c r="A374" s="4"/>
      <c r="B374" s="4"/>
    </row>
    <row r="375" spans="1:2" ht="15.75" customHeight="1">
      <c r="A375" s="4"/>
      <c r="B375" s="4"/>
    </row>
    <row r="376" spans="1:2" ht="15.75" customHeight="1">
      <c r="A376" s="4"/>
      <c r="B376" s="4"/>
    </row>
    <row r="377" spans="1:2" ht="15.75" customHeight="1">
      <c r="A377" s="4"/>
      <c r="B377" s="4"/>
    </row>
    <row r="378" spans="1:2" ht="15.75" customHeight="1">
      <c r="A378" s="4"/>
      <c r="B378" s="4"/>
    </row>
    <row r="379" spans="1:2" ht="15.75" customHeight="1">
      <c r="A379" s="4"/>
      <c r="B379" s="4"/>
    </row>
    <row r="380" spans="1:2" ht="15.75" customHeight="1">
      <c r="A380" s="4"/>
      <c r="B380" s="4"/>
    </row>
    <row r="381" spans="1:2" ht="15.75" customHeight="1">
      <c r="A381" s="4"/>
      <c r="B381" s="4"/>
    </row>
    <row r="382" spans="1:2" ht="15.75" customHeight="1">
      <c r="A382" s="4"/>
      <c r="B382" s="4"/>
    </row>
    <row r="383" spans="1:2" ht="15.75" customHeight="1">
      <c r="A383" s="4"/>
      <c r="B383" s="4"/>
    </row>
    <row r="384" spans="1:2" ht="15.75" customHeight="1">
      <c r="A384" s="4"/>
      <c r="B384" s="4"/>
    </row>
    <row r="385" spans="1:2" ht="15.75" customHeight="1">
      <c r="A385" s="4"/>
      <c r="B385" s="4"/>
    </row>
    <row r="386" spans="1:2" ht="15.75" customHeight="1">
      <c r="A386" s="4"/>
      <c r="B386" s="4"/>
    </row>
    <row r="387" spans="1:2" ht="15.75" customHeight="1">
      <c r="A387" s="4"/>
      <c r="B387" s="4"/>
    </row>
    <row r="388" spans="1:2" ht="15.75" customHeight="1">
      <c r="A388" s="4"/>
      <c r="B388" s="4"/>
    </row>
    <row r="389" spans="1:2" ht="15.75" customHeight="1">
      <c r="A389" s="4"/>
      <c r="B389" s="4"/>
    </row>
    <row r="390" spans="1:2" ht="15.75" customHeight="1">
      <c r="A390" s="4"/>
      <c r="B390" s="4"/>
    </row>
    <row r="391" spans="1:2" ht="15.75" customHeight="1">
      <c r="A391" s="4"/>
      <c r="B391" s="4"/>
    </row>
    <row r="392" spans="1:2" ht="15.75" customHeight="1">
      <c r="A392" s="4"/>
      <c r="B392" s="4"/>
    </row>
    <row r="393" spans="1:2" ht="15.75" customHeight="1">
      <c r="A393" s="4"/>
      <c r="B393" s="4"/>
    </row>
    <row r="394" spans="1:2" ht="15.75" customHeight="1">
      <c r="A394" s="4"/>
      <c r="B394" s="4"/>
    </row>
    <row r="395" spans="1:2" ht="15.75" customHeight="1">
      <c r="A395" s="4"/>
      <c r="B395" s="4"/>
    </row>
    <row r="396" spans="1:2" ht="15.75" customHeight="1">
      <c r="A396" s="4"/>
      <c r="B396" s="4"/>
    </row>
    <row r="397" spans="1:2" ht="15.75" customHeight="1">
      <c r="A397" s="4"/>
      <c r="B397" s="4"/>
    </row>
    <row r="398" spans="1:2" ht="15.75" customHeight="1">
      <c r="A398" s="4"/>
      <c r="B398" s="4"/>
    </row>
    <row r="399" spans="1:2" ht="15.75" customHeight="1">
      <c r="A399" s="4"/>
      <c r="B399" s="4"/>
    </row>
    <row r="400" spans="1:2" ht="15.75" customHeight="1">
      <c r="A400" s="4"/>
      <c r="B400" s="4"/>
    </row>
    <row r="401" spans="1:2" ht="15.75" customHeight="1">
      <c r="A401" s="4"/>
      <c r="B401" s="4"/>
    </row>
    <row r="402" spans="1:2" ht="15.75" customHeight="1">
      <c r="A402" s="4"/>
      <c r="B402" s="4"/>
    </row>
    <row r="403" spans="1:2" ht="15.75" customHeight="1">
      <c r="A403" s="4"/>
      <c r="B403" s="4"/>
    </row>
    <row r="404" spans="1:2" ht="15.75" customHeight="1">
      <c r="A404" s="4"/>
      <c r="B404" s="4"/>
    </row>
    <row r="405" spans="1:2" ht="15.75" customHeight="1">
      <c r="A405" s="4"/>
      <c r="B405" s="4"/>
    </row>
    <row r="406" spans="1:2" ht="15.75" customHeight="1">
      <c r="A406" s="4"/>
      <c r="B406" s="4"/>
    </row>
    <row r="407" spans="1:2" ht="15.75" customHeight="1">
      <c r="A407" s="4"/>
      <c r="B407" s="4"/>
    </row>
    <row r="408" spans="1:2" ht="15.75" customHeight="1">
      <c r="A408" s="4"/>
      <c r="B408" s="4"/>
    </row>
    <row r="409" spans="1:2" ht="15.75" customHeight="1">
      <c r="A409" s="4"/>
      <c r="B409" s="4"/>
    </row>
    <row r="410" spans="1:2" ht="15.75" customHeight="1">
      <c r="A410" s="4"/>
      <c r="B410" s="4"/>
    </row>
    <row r="411" spans="1:2" ht="15.75" customHeight="1">
      <c r="A411" s="4"/>
      <c r="B411" s="4"/>
    </row>
    <row r="412" spans="1:2" ht="15.75" customHeight="1">
      <c r="A412" s="4"/>
      <c r="B412" s="4"/>
    </row>
    <row r="413" spans="1:2" ht="15.75" customHeight="1">
      <c r="A413" s="4"/>
      <c r="B413" s="4"/>
    </row>
    <row r="414" spans="1:2" ht="15.75" customHeight="1">
      <c r="A414" s="4"/>
      <c r="B414" s="4"/>
    </row>
    <row r="415" spans="1:2" ht="15.75" customHeight="1">
      <c r="A415" s="4"/>
      <c r="B415" s="4"/>
    </row>
    <row r="416" spans="1:2" ht="15.75" customHeight="1">
      <c r="A416" s="4"/>
      <c r="B416" s="4"/>
    </row>
    <row r="417" spans="1:2" ht="15.75" customHeight="1">
      <c r="A417" s="4"/>
      <c r="B417" s="4"/>
    </row>
    <row r="418" spans="1:2" ht="15.75" customHeight="1">
      <c r="A418" s="4"/>
      <c r="B418" s="4"/>
    </row>
    <row r="419" spans="1:2" ht="15.75" customHeight="1">
      <c r="A419" s="4"/>
      <c r="B419" s="4"/>
    </row>
    <row r="420" spans="1:2" ht="15.75" customHeight="1">
      <c r="A420" s="4"/>
      <c r="B420" s="4"/>
    </row>
    <row r="421" spans="1:2" ht="15.75" customHeight="1">
      <c r="A421" s="4"/>
      <c r="B421" s="4"/>
    </row>
    <row r="422" spans="1:2" ht="15.75" customHeight="1">
      <c r="A422" s="4"/>
      <c r="B422" s="4"/>
    </row>
    <row r="423" spans="1:2" ht="15.75" customHeight="1">
      <c r="A423" s="4"/>
      <c r="B423" s="4"/>
    </row>
    <row r="424" spans="1:2" ht="15.75" customHeight="1">
      <c r="A424" s="4"/>
      <c r="B424" s="4"/>
    </row>
    <row r="425" spans="1:2" ht="15.75" customHeight="1">
      <c r="A425" s="4"/>
      <c r="B425" s="4"/>
    </row>
    <row r="426" spans="1:2" ht="15.75" customHeight="1">
      <c r="A426" s="4"/>
      <c r="B426" s="4"/>
    </row>
    <row r="427" spans="1:2" ht="15.75" customHeight="1">
      <c r="A427" s="4"/>
      <c r="B427" s="4"/>
    </row>
    <row r="428" spans="1:2" ht="15.75" customHeight="1">
      <c r="A428" s="4"/>
      <c r="B428" s="4"/>
    </row>
    <row r="429" spans="1:2" ht="15.75" customHeight="1">
      <c r="A429" s="4"/>
      <c r="B429" s="4"/>
    </row>
    <row r="430" spans="1:2" ht="15.75" customHeight="1">
      <c r="A430" s="4"/>
      <c r="B430" s="4"/>
    </row>
    <row r="431" spans="1:2" ht="15.75" customHeight="1">
      <c r="A431" s="4"/>
      <c r="B431" s="4"/>
    </row>
    <row r="432" spans="1:2" ht="15.75" customHeight="1">
      <c r="A432" s="4"/>
      <c r="B432" s="4"/>
    </row>
    <row r="433" spans="1:2" ht="15.75" customHeight="1">
      <c r="A433" s="4"/>
      <c r="B433" s="4"/>
    </row>
    <row r="434" spans="1:2" ht="15.75" customHeight="1">
      <c r="A434" s="4"/>
      <c r="B434" s="4"/>
    </row>
    <row r="435" spans="1:2" ht="15.75" customHeight="1">
      <c r="A435" s="4"/>
      <c r="B435" s="4"/>
    </row>
    <row r="436" spans="1:2" ht="15.75" customHeight="1">
      <c r="A436" s="4"/>
      <c r="B436" s="4"/>
    </row>
    <row r="437" spans="1:2" ht="15.75" customHeight="1">
      <c r="A437" s="4"/>
      <c r="B437" s="4"/>
    </row>
    <row r="438" spans="1:2" ht="15.75" customHeight="1">
      <c r="A438" s="4"/>
      <c r="B438" s="4"/>
    </row>
    <row r="439" spans="1:2" ht="15.75" customHeight="1">
      <c r="A439" s="4"/>
      <c r="B439" s="4"/>
    </row>
    <row r="440" spans="1:2" ht="15.75" customHeight="1">
      <c r="A440" s="4"/>
      <c r="B440" s="4"/>
    </row>
    <row r="441" spans="1:2" ht="15.75" customHeight="1">
      <c r="A441" s="4"/>
      <c r="B441" s="4"/>
    </row>
    <row r="442" spans="1:2" ht="15.75" customHeight="1">
      <c r="A442" s="4"/>
      <c r="B442" s="4"/>
    </row>
    <row r="443" spans="1:2" ht="15.75" customHeight="1">
      <c r="A443" s="4"/>
      <c r="B443" s="4"/>
    </row>
    <row r="444" spans="1:2" ht="15.75" customHeight="1">
      <c r="A444" s="4"/>
      <c r="B444" s="4"/>
    </row>
    <row r="445" spans="1:2" ht="15.75" customHeight="1">
      <c r="A445" s="4"/>
      <c r="B445" s="4"/>
    </row>
    <row r="446" spans="1:2" ht="15.75" customHeight="1">
      <c r="A446" s="4"/>
      <c r="B446" s="4"/>
    </row>
    <row r="447" spans="1:2" ht="15.75" customHeight="1">
      <c r="A447" s="4"/>
      <c r="B447" s="4"/>
    </row>
    <row r="448" spans="1:2" ht="15.75" customHeight="1">
      <c r="A448" s="4"/>
      <c r="B448" s="4"/>
    </row>
    <row r="449" spans="1:2" ht="15.75" customHeight="1">
      <c r="A449" s="4"/>
      <c r="B449" s="4"/>
    </row>
    <row r="450" spans="1:2" ht="15.75" customHeight="1">
      <c r="A450" s="4"/>
      <c r="B450" s="4"/>
    </row>
    <row r="451" spans="1:2" ht="15.75" customHeight="1">
      <c r="A451" s="4"/>
      <c r="B451" s="4"/>
    </row>
    <row r="452" spans="1:2" ht="15.75" customHeight="1">
      <c r="A452" s="4"/>
      <c r="B452" s="4"/>
    </row>
    <row r="453" spans="1:2" ht="15.75" customHeight="1">
      <c r="A453" s="4"/>
      <c r="B453" s="4"/>
    </row>
    <row r="454" spans="1:2" ht="15.75" customHeight="1">
      <c r="A454" s="4"/>
      <c r="B454" s="4"/>
    </row>
    <row r="455" spans="1:2" ht="15.75" customHeight="1">
      <c r="A455" s="4"/>
      <c r="B455" s="4"/>
    </row>
    <row r="456" spans="1:2" ht="15.75" customHeight="1">
      <c r="A456" s="4"/>
      <c r="B456" s="4"/>
    </row>
    <row r="457" spans="1:2" ht="15.75" customHeight="1">
      <c r="A457" s="4"/>
      <c r="B457" s="4"/>
    </row>
    <row r="458" spans="1:2" ht="15.75" customHeight="1">
      <c r="A458" s="4"/>
      <c r="B458" s="4"/>
    </row>
    <row r="459" spans="1:2" ht="15.75" customHeight="1">
      <c r="A459" s="4"/>
      <c r="B459" s="4"/>
    </row>
    <row r="460" spans="1:2" ht="15.75" customHeight="1">
      <c r="A460" s="4"/>
      <c r="B460" s="4"/>
    </row>
    <row r="461" spans="1:2" ht="15.75" customHeight="1">
      <c r="A461" s="4"/>
      <c r="B461" s="4"/>
    </row>
    <row r="462" spans="1:2" ht="15.75" customHeight="1">
      <c r="A462" s="4"/>
      <c r="B462" s="4"/>
    </row>
    <row r="463" spans="1:2" ht="15.75" customHeight="1">
      <c r="A463" s="4"/>
      <c r="B463" s="4"/>
    </row>
    <row r="464" spans="1:2" ht="15.75" customHeight="1">
      <c r="A464" s="4"/>
      <c r="B464" s="4"/>
    </row>
    <row r="465" spans="1:2" ht="15.75" customHeight="1">
      <c r="A465" s="4"/>
      <c r="B465" s="4"/>
    </row>
    <row r="466" spans="1:2" ht="15.75" customHeight="1">
      <c r="A466" s="4"/>
      <c r="B466" s="4"/>
    </row>
    <row r="467" spans="1:2" ht="15.75" customHeight="1">
      <c r="A467" s="4"/>
      <c r="B467" s="4"/>
    </row>
    <row r="468" spans="1:2" ht="15.75" customHeight="1">
      <c r="A468" s="4"/>
      <c r="B468" s="4"/>
    </row>
    <row r="469" spans="1:2" ht="15.75" customHeight="1">
      <c r="A469" s="4"/>
      <c r="B469" s="4"/>
    </row>
    <row r="470" spans="1:2" ht="15.75" customHeight="1">
      <c r="A470" s="4"/>
      <c r="B470" s="4"/>
    </row>
    <row r="471" spans="1:2" ht="15.75" customHeight="1">
      <c r="A471" s="4"/>
      <c r="B471" s="4"/>
    </row>
    <row r="472" spans="1:2" ht="15.75" customHeight="1">
      <c r="A472" s="4"/>
      <c r="B472" s="4"/>
    </row>
    <row r="473" spans="1:2" ht="15.75" customHeight="1">
      <c r="A473" s="4"/>
      <c r="B473" s="4"/>
    </row>
    <row r="474" spans="1:2" ht="15.75" customHeight="1">
      <c r="A474" s="4"/>
      <c r="B474" s="4"/>
    </row>
    <row r="475" spans="1:2" ht="15.75" customHeight="1">
      <c r="A475" s="4"/>
      <c r="B475" s="4"/>
    </row>
    <row r="476" spans="1:2" ht="15.75" customHeight="1">
      <c r="A476" s="4"/>
      <c r="B476" s="4"/>
    </row>
    <row r="477" spans="1:2" ht="15.75" customHeight="1">
      <c r="A477" s="4"/>
      <c r="B477" s="4"/>
    </row>
    <row r="478" spans="1:2" ht="15.75" customHeight="1">
      <c r="A478" s="4"/>
      <c r="B478" s="4"/>
    </row>
    <row r="479" spans="1:2" ht="15.75" customHeight="1">
      <c r="A479" s="4"/>
      <c r="B479" s="4"/>
    </row>
    <row r="480" spans="1:2" ht="15.75" customHeight="1">
      <c r="A480" s="4"/>
      <c r="B480" s="4"/>
    </row>
    <row r="481" spans="1:2" ht="15.75" customHeight="1">
      <c r="A481" s="4"/>
      <c r="B481" s="4"/>
    </row>
    <row r="482" spans="1:2" ht="15.75" customHeight="1">
      <c r="A482" s="4"/>
      <c r="B482" s="4"/>
    </row>
    <row r="483" spans="1:2" ht="15.75" customHeight="1">
      <c r="A483" s="4"/>
      <c r="B483" s="4"/>
    </row>
    <row r="484" spans="1:2" ht="15.75" customHeight="1">
      <c r="A484" s="4"/>
      <c r="B484" s="4"/>
    </row>
    <row r="485" spans="1:2" ht="15.75" customHeight="1">
      <c r="A485" s="4"/>
      <c r="B485" s="4"/>
    </row>
    <row r="486" spans="1:2" ht="15.75" customHeight="1">
      <c r="A486" s="4"/>
      <c r="B486" s="4"/>
    </row>
    <row r="487" spans="1:2" ht="15.75" customHeight="1">
      <c r="A487" s="4"/>
      <c r="B487" s="4"/>
    </row>
    <row r="488" spans="1:2" ht="15.75" customHeight="1">
      <c r="A488" s="4"/>
      <c r="B488" s="4"/>
    </row>
    <row r="489" spans="1:2" ht="15.75" customHeight="1">
      <c r="A489" s="4"/>
      <c r="B489" s="4"/>
    </row>
    <row r="490" spans="1:2" ht="15.75" customHeight="1">
      <c r="A490" s="4"/>
      <c r="B490" s="4"/>
    </row>
    <row r="491" spans="1:2" ht="15.75" customHeight="1">
      <c r="A491" s="4"/>
      <c r="B491" s="4"/>
    </row>
    <row r="492" spans="1:2" ht="15.75" customHeight="1">
      <c r="A492" s="4"/>
      <c r="B492" s="4"/>
    </row>
    <row r="493" spans="1:2" ht="15.75" customHeight="1">
      <c r="A493" s="4"/>
      <c r="B493" s="4"/>
    </row>
    <row r="494" spans="1:2" ht="15.75" customHeight="1">
      <c r="A494" s="4"/>
      <c r="B494" s="4"/>
    </row>
    <row r="495" spans="1:2" ht="15.75" customHeight="1">
      <c r="A495" s="4"/>
      <c r="B495" s="4"/>
    </row>
    <row r="496" spans="1:2" ht="15.75" customHeight="1">
      <c r="A496" s="4"/>
      <c r="B496" s="4"/>
    </row>
    <row r="497" spans="1:2" ht="15.75" customHeight="1">
      <c r="A497" s="4"/>
      <c r="B497" s="4"/>
    </row>
    <row r="498" spans="1:2" ht="15.75" customHeight="1">
      <c r="A498" s="4"/>
      <c r="B498" s="4"/>
    </row>
    <row r="499" spans="1:2" ht="15.75" customHeight="1">
      <c r="A499" s="4"/>
      <c r="B499" s="4"/>
    </row>
    <row r="500" spans="1:2" ht="15.75" customHeight="1">
      <c r="A500" s="4"/>
      <c r="B500" s="4"/>
    </row>
    <row r="501" spans="1:2" ht="15.75" customHeight="1">
      <c r="A501" s="4"/>
      <c r="B501" s="4"/>
    </row>
    <row r="502" spans="1:2" ht="15.75" customHeight="1">
      <c r="A502" s="4"/>
      <c r="B502" s="4"/>
    </row>
    <row r="503" spans="1:2" ht="15.75" customHeight="1">
      <c r="A503" s="4"/>
      <c r="B503" s="4"/>
    </row>
    <row r="504" spans="1:2" ht="15.75" customHeight="1">
      <c r="A504" s="4"/>
      <c r="B504" s="4"/>
    </row>
    <row r="505" spans="1:2" ht="15.75" customHeight="1">
      <c r="A505" s="4"/>
      <c r="B505" s="4"/>
    </row>
    <row r="506" spans="1:2" ht="15.75" customHeight="1">
      <c r="A506" s="4"/>
      <c r="B506" s="4"/>
    </row>
    <row r="507" spans="1:2" ht="15.75" customHeight="1">
      <c r="A507" s="4"/>
      <c r="B507" s="4"/>
    </row>
    <row r="508" spans="1:2" ht="15.75" customHeight="1">
      <c r="A508" s="4"/>
      <c r="B508" s="4"/>
    </row>
    <row r="509" spans="1:2" ht="15.75" customHeight="1">
      <c r="A509" s="4"/>
      <c r="B509" s="4"/>
    </row>
    <row r="510" spans="1:2" ht="15.75" customHeight="1">
      <c r="A510" s="4"/>
      <c r="B510" s="4"/>
    </row>
    <row r="511" spans="1:2" ht="15.75" customHeight="1">
      <c r="A511" s="4"/>
      <c r="B511" s="4"/>
    </row>
    <row r="512" spans="1:2" ht="15.75" customHeight="1">
      <c r="A512" s="4"/>
      <c r="B512" s="4"/>
    </row>
    <row r="513" spans="1:2" ht="15.75" customHeight="1">
      <c r="A513" s="4"/>
      <c r="B513" s="4"/>
    </row>
    <row r="514" spans="1:2" ht="15.75" customHeight="1">
      <c r="A514" s="4"/>
      <c r="B514" s="4"/>
    </row>
    <row r="515" spans="1:2" ht="15.75" customHeight="1">
      <c r="A515" s="4"/>
      <c r="B515" s="4"/>
    </row>
    <row r="516" spans="1:2" ht="15.75" customHeight="1">
      <c r="A516" s="4"/>
      <c r="B516" s="4"/>
    </row>
    <row r="517" spans="1:2" ht="15.75" customHeight="1">
      <c r="A517" s="4"/>
      <c r="B517" s="4"/>
    </row>
    <row r="518" spans="1:2" ht="15.75" customHeight="1">
      <c r="A518" s="4"/>
      <c r="B518" s="4"/>
    </row>
    <row r="519" spans="1:2" ht="15.75" customHeight="1">
      <c r="A519" s="4"/>
      <c r="B519" s="4"/>
    </row>
    <row r="520" spans="1:2" ht="15.75" customHeight="1">
      <c r="A520" s="4"/>
      <c r="B520" s="4"/>
    </row>
    <row r="521" spans="1:2" ht="15.75" customHeight="1">
      <c r="A521" s="4"/>
      <c r="B521" s="4"/>
    </row>
    <row r="522" spans="1:2" ht="15.75" customHeight="1">
      <c r="A522" s="4"/>
      <c r="B522" s="4"/>
    </row>
    <row r="523" spans="1:2" ht="15.75" customHeight="1">
      <c r="A523" s="4"/>
      <c r="B523" s="4"/>
    </row>
    <row r="524" spans="1:2" ht="15.75" customHeight="1">
      <c r="A524" s="4"/>
      <c r="B524" s="4"/>
    </row>
    <row r="525" spans="1:2" ht="15.75" customHeight="1">
      <c r="A525" s="4"/>
      <c r="B525" s="4"/>
    </row>
    <row r="526" spans="1:2" ht="15.75" customHeight="1">
      <c r="A526" s="4"/>
      <c r="B526" s="4"/>
    </row>
    <row r="527" spans="1:2" ht="15.75" customHeight="1">
      <c r="A527" s="4"/>
      <c r="B527" s="4"/>
    </row>
    <row r="528" spans="1:2" ht="15.75" customHeight="1">
      <c r="A528" s="4"/>
      <c r="B528" s="4"/>
    </row>
    <row r="529" spans="1:2" ht="15.75" customHeight="1">
      <c r="A529" s="4"/>
      <c r="B529" s="4"/>
    </row>
    <row r="530" spans="1:2" ht="15.75" customHeight="1">
      <c r="A530" s="4"/>
      <c r="B530" s="4"/>
    </row>
    <row r="531" spans="1:2" ht="15.75" customHeight="1">
      <c r="A531" s="4"/>
      <c r="B531" s="4"/>
    </row>
    <row r="532" spans="1:2" ht="15.75" customHeight="1">
      <c r="A532" s="4"/>
      <c r="B532" s="4"/>
    </row>
    <row r="533" spans="1:2" ht="15.75" customHeight="1">
      <c r="A533" s="4"/>
      <c r="B533" s="4"/>
    </row>
    <row r="534" spans="1:2" ht="15.75" customHeight="1">
      <c r="A534" s="4"/>
      <c r="B534" s="4"/>
    </row>
    <row r="535" spans="1:2" ht="15.75" customHeight="1">
      <c r="A535" s="4"/>
      <c r="B535" s="4"/>
    </row>
    <row r="536" spans="1:2" ht="15.75" customHeight="1">
      <c r="A536" s="4"/>
      <c r="B536" s="4"/>
    </row>
    <row r="537" spans="1:2" ht="15.75" customHeight="1">
      <c r="A537" s="4"/>
      <c r="B537" s="4"/>
    </row>
    <row r="538" spans="1:2" ht="15.75" customHeight="1">
      <c r="A538" s="4"/>
      <c r="B538" s="4"/>
    </row>
    <row r="539" spans="1:2" ht="15.75" customHeight="1">
      <c r="A539" s="4"/>
      <c r="B539" s="4"/>
    </row>
    <row r="540" spans="1:2" ht="15.75" customHeight="1">
      <c r="A540" s="4"/>
      <c r="B540" s="4"/>
    </row>
    <row r="541" spans="1:2" ht="15.75" customHeight="1">
      <c r="A541" s="4"/>
      <c r="B541" s="4"/>
    </row>
    <row r="542" spans="1:2" ht="15.75" customHeight="1">
      <c r="A542" s="4"/>
      <c r="B542" s="4"/>
    </row>
    <row r="543" spans="1:2" ht="15.75" customHeight="1">
      <c r="A543" s="4"/>
      <c r="B543" s="4"/>
    </row>
    <row r="544" spans="1:2" ht="15.75" customHeight="1">
      <c r="A544" s="4"/>
      <c r="B544" s="4"/>
    </row>
    <row r="545" spans="1:2" ht="15.75" customHeight="1">
      <c r="A545" s="4"/>
      <c r="B545" s="4"/>
    </row>
    <row r="546" spans="1:2" ht="15.75" customHeight="1">
      <c r="A546" s="4"/>
      <c r="B546" s="4"/>
    </row>
    <row r="547" spans="1:2" ht="15.75" customHeight="1">
      <c r="A547" s="4"/>
      <c r="B547" s="4"/>
    </row>
    <row r="548" spans="1:2" ht="15.75" customHeight="1">
      <c r="A548" s="4"/>
      <c r="B548" s="4"/>
    </row>
    <row r="549" spans="1:2" ht="15.75" customHeight="1">
      <c r="A549" s="4"/>
      <c r="B549" s="4"/>
    </row>
    <row r="550" spans="1:2" ht="15.75" customHeight="1">
      <c r="A550" s="4"/>
      <c r="B550" s="4"/>
    </row>
    <row r="551" spans="1:2" ht="15.75" customHeight="1">
      <c r="A551" s="4"/>
      <c r="B551" s="4"/>
    </row>
    <row r="552" spans="1:2" ht="15.75" customHeight="1">
      <c r="A552" s="4"/>
      <c r="B552" s="4"/>
    </row>
    <row r="553" spans="1:2" ht="15.75" customHeight="1">
      <c r="A553" s="4"/>
      <c r="B553" s="4"/>
    </row>
    <row r="554" spans="1:2" ht="15.75" customHeight="1">
      <c r="A554" s="4"/>
      <c r="B554" s="4"/>
    </row>
    <row r="555" spans="1:2" ht="15.75" customHeight="1">
      <c r="A555" s="4"/>
      <c r="B555" s="4"/>
    </row>
    <row r="556" spans="1:2" ht="15.75" customHeight="1">
      <c r="A556" s="4"/>
      <c r="B556" s="4"/>
    </row>
    <row r="557" spans="1:2" ht="15.75" customHeight="1">
      <c r="A557" s="4"/>
      <c r="B557" s="4"/>
    </row>
    <row r="558" spans="1:2" ht="15.75" customHeight="1">
      <c r="A558" s="4"/>
      <c r="B558" s="4"/>
    </row>
    <row r="559" spans="1:2" ht="15.75" customHeight="1">
      <c r="A559" s="4"/>
      <c r="B559" s="4"/>
    </row>
    <row r="560" spans="1:2" ht="15.75" customHeight="1">
      <c r="A560" s="4"/>
      <c r="B560" s="4"/>
    </row>
    <row r="561" spans="1:2" ht="15.75" customHeight="1">
      <c r="A561" s="4"/>
      <c r="B561" s="4"/>
    </row>
    <row r="562" spans="1:2" ht="15.75" customHeight="1">
      <c r="A562" s="4"/>
      <c r="B562" s="4"/>
    </row>
    <row r="563" spans="1:2" ht="15.75" customHeight="1">
      <c r="A563" s="4"/>
      <c r="B563" s="4"/>
    </row>
    <row r="564" spans="1:2" ht="15.75" customHeight="1">
      <c r="A564" s="4"/>
      <c r="B564" s="4"/>
    </row>
    <row r="565" spans="1:2" ht="15.75" customHeight="1">
      <c r="A565" s="4"/>
      <c r="B565" s="4"/>
    </row>
    <row r="566" spans="1:2" ht="15.75" customHeight="1">
      <c r="A566" s="4"/>
      <c r="B566" s="4"/>
    </row>
    <row r="567" spans="1:2" ht="15.75" customHeight="1">
      <c r="A567" s="4"/>
      <c r="B567" s="4"/>
    </row>
    <row r="568" spans="1:2" ht="15.75" customHeight="1">
      <c r="A568" s="4"/>
      <c r="B568" s="4"/>
    </row>
    <row r="569" spans="1:2" ht="15.75" customHeight="1">
      <c r="A569" s="4"/>
      <c r="B569" s="4"/>
    </row>
    <row r="570" spans="1:2" ht="15.75" customHeight="1">
      <c r="A570" s="4"/>
      <c r="B570" s="4"/>
    </row>
    <row r="571" spans="1:2" ht="15.75" customHeight="1">
      <c r="A571" s="4"/>
      <c r="B571" s="4"/>
    </row>
    <row r="572" spans="1:2" ht="15.75" customHeight="1">
      <c r="A572" s="4"/>
      <c r="B572" s="4"/>
    </row>
    <row r="573" spans="1:2" ht="15.75" customHeight="1">
      <c r="A573" s="4"/>
      <c r="B573" s="4"/>
    </row>
    <row r="574" spans="1:2" ht="15.75" customHeight="1">
      <c r="A574" s="4"/>
      <c r="B574" s="4"/>
    </row>
    <row r="575" spans="1:2" ht="15.75" customHeight="1">
      <c r="A575" s="4"/>
      <c r="B575" s="4"/>
    </row>
    <row r="576" spans="1:2" ht="15.75" customHeight="1">
      <c r="A576" s="4"/>
      <c r="B576" s="4"/>
    </row>
    <row r="577" spans="1:2" ht="15.75" customHeight="1">
      <c r="A577" s="4"/>
      <c r="B577" s="4"/>
    </row>
    <row r="578" spans="1:2" ht="15.75" customHeight="1">
      <c r="A578" s="4"/>
      <c r="B578" s="4"/>
    </row>
    <row r="579" spans="1:2" ht="15.75" customHeight="1">
      <c r="A579" s="4"/>
      <c r="B579" s="4"/>
    </row>
    <row r="580" spans="1:2" ht="15.75" customHeight="1">
      <c r="A580" s="4"/>
      <c r="B580" s="4"/>
    </row>
    <row r="581" spans="1:2" ht="15.75" customHeight="1">
      <c r="A581" s="4"/>
      <c r="B581" s="4"/>
    </row>
    <row r="582" spans="1:2" ht="15.75" customHeight="1">
      <c r="A582" s="4"/>
      <c r="B582" s="4"/>
    </row>
    <row r="583" spans="1:2" ht="15.75" customHeight="1">
      <c r="A583" s="4"/>
      <c r="B583" s="4"/>
    </row>
    <row r="584" spans="1:2" ht="15.75" customHeight="1">
      <c r="A584" s="4"/>
      <c r="B584" s="4"/>
    </row>
    <row r="585" spans="1:2" ht="15.75" customHeight="1">
      <c r="A585" s="4"/>
      <c r="B585" s="4"/>
    </row>
    <row r="586" spans="1:2" ht="15.75" customHeight="1">
      <c r="A586" s="4"/>
      <c r="B586" s="4"/>
    </row>
    <row r="587" spans="1:2" ht="15.75" customHeight="1">
      <c r="A587" s="4"/>
      <c r="B587" s="4"/>
    </row>
    <row r="588" spans="1:2" ht="15.75" customHeight="1">
      <c r="A588" s="4"/>
      <c r="B588" s="4"/>
    </row>
    <row r="589" spans="1:2" ht="15.75" customHeight="1">
      <c r="A589" s="4"/>
      <c r="B589" s="4"/>
    </row>
    <row r="590" spans="1:2" ht="15.75" customHeight="1">
      <c r="A590" s="4"/>
      <c r="B590" s="4"/>
    </row>
    <row r="591" spans="1:2" ht="15.75" customHeight="1">
      <c r="A591" s="4"/>
      <c r="B591" s="4"/>
    </row>
    <row r="592" spans="1:2" ht="15.75" customHeight="1">
      <c r="A592" s="4"/>
      <c r="B592" s="4"/>
    </row>
    <row r="593" spans="1:2" ht="15.75" customHeight="1">
      <c r="A593" s="4"/>
      <c r="B593" s="4"/>
    </row>
    <row r="594" spans="1:2" ht="15.75" customHeight="1">
      <c r="A594" s="4"/>
      <c r="B594" s="4"/>
    </row>
    <row r="595" spans="1:2" ht="15.75" customHeight="1">
      <c r="A595" s="4"/>
      <c r="B595" s="4"/>
    </row>
    <row r="596" spans="1:2" ht="15.75" customHeight="1">
      <c r="A596" s="4"/>
      <c r="B596" s="4"/>
    </row>
    <row r="597" spans="1:2" ht="15.75" customHeight="1">
      <c r="A597" s="4"/>
      <c r="B597" s="4"/>
    </row>
    <row r="598" spans="1:2" ht="15.75" customHeight="1">
      <c r="A598" s="4"/>
      <c r="B598" s="4"/>
    </row>
    <row r="599" spans="1:2" ht="15.75" customHeight="1">
      <c r="A599" s="4"/>
      <c r="B599" s="4"/>
    </row>
    <row r="600" spans="1:2" ht="15.75" customHeight="1">
      <c r="A600" s="4"/>
      <c r="B600" s="4"/>
    </row>
    <row r="601" spans="1:2" ht="15.75" customHeight="1">
      <c r="A601" s="4"/>
      <c r="B601" s="4"/>
    </row>
    <row r="602" spans="1:2" ht="15.75" customHeight="1">
      <c r="A602" s="4"/>
      <c r="B602" s="4"/>
    </row>
    <row r="603" spans="1:2" ht="15.75" customHeight="1">
      <c r="A603" s="4"/>
      <c r="B603" s="4"/>
    </row>
    <row r="604" spans="1:2" ht="15.75" customHeight="1">
      <c r="A604" s="4"/>
      <c r="B604" s="4"/>
    </row>
    <row r="605" spans="1:2" ht="15.75" customHeight="1">
      <c r="A605" s="4"/>
      <c r="B605" s="4"/>
    </row>
    <row r="606" spans="1:2" ht="15.75" customHeight="1">
      <c r="A606" s="4"/>
      <c r="B606" s="4"/>
    </row>
    <row r="607" spans="1:2" ht="15.75" customHeight="1">
      <c r="A607" s="4"/>
      <c r="B607" s="4"/>
    </row>
    <row r="608" spans="1:2" ht="15.75" customHeight="1">
      <c r="A608" s="4"/>
      <c r="B608" s="4"/>
    </row>
    <row r="609" spans="1:2" ht="15.75" customHeight="1">
      <c r="A609" s="4"/>
      <c r="B609" s="4"/>
    </row>
    <row r="610" spans="1:2" ht="15.75" customHeight="1">
      <c r="A610" s="4"/>
      <c r="B610" s="4"/>
    </row>
    <row r="611" spans="1:2" ht="15.75" customHeight="1">
      <c r="A611" s="4"/>
      <c r="B611" s="4"/>
    </row>
    <row r="612" spans="1:2" ht="15.75" customHeight="1">
      <c r="A612" s="4"/>
      <c r="B612" s="4"/>
    </row>
    <row r="613" spans="1:2" ht="15.75" customHeight="1">
      <c r="A613" s="4"/>
      <c r="B613" s="4"/>
    </row>
    <row r="614" spans="1:2" ht="15.75" customHeight="1">
      <c r="A614" s="4"/>
      <c r="B614" s="4"/>
    </row>
    <row r="615" spans="1:2" ht="15.75" customHeight="1">
      <c r="A615" s="4"/>
      <c r="B615" s="4"/>
    </row>
    <row r="616" spans="1:2" ht="15.75" customHeight="1">
      <c r="A616" s="4"/>
      <c r="B616" s="4"/>
    </row>
    <row r="617" spans="1:2" ht="15.75" customHeight="1">
      <c r="A617" s="4"/>
      <c r="B617" s="4"/>
    </row>
    <row r="618" spans="1:2" ht="15.75" customHeight="1">
      <c r="A618" s="4"/>
      <c r="B618" s="4"/>
    </row>
    <row r="619" spans="1:2" ht="15.75" customHeight="1">
      <c r="A619" s="4"/>
      <c r="B619" s="4"/>
    </row>
    <row r="620" spans="1:2" ht="15.75" customHeight="1">
      <c r="A620" s="4"/>
      <c r="B620" s="4"/>
    </row>
    <row r="621" spans="1:2" ht="15.75" customHeight="1">
      <c r="A621" s="4"/>
      <c r="B621" s="4"/>
    </row>
    <row r="622" spans="1:2" ht="15.75" customHeight="1">
      <c r="A622" s="4"/>
      <c r="B622" s="4"/>
    </row>
    <row r="623" spans="1:2" ht="15.75" customHeight="1">
      <c r="A623" s="4"/>
      <c r="B623" s="4"/>
    </row>
    <row r="624" spans="1:2" ht="15.75" customHeight="1">
      <c r="A624" s="4"/>
      <c r="B624" s="4"/>
    </row>
    <row r="625" spans="1:2" ht="15.75" customHeight="1">
      <c r="A625" s="4"/>
      <c r="B625" s="4"/>
    </row>
    <row r="626" spans="1:2" ht="15.75" customHeight="1">
      <c r="A626" s="4"/>
      <c r="B626" s="4"/>
    </row>
    <row r="627" spans="1:2" ht="15.75" customHeight="1">
      <c r="A627" s="4"/>
      <c r="B627" s="4"/>
    </row>
    <row r="628" spans="1:2" ht="15.75" customHeight="1">
      <c r="A628" s="4"/>
      <c r="B628" s="4"/>
    </row>
    <row r="629" spans="1:2" ht="15.75" customHeight="1">
      <c r="A629" s="4"/>
      <c r="B629" s="4"/>
    </row>
    <row r="630" spans="1:2" ht="15.75" customHeight="1">
      <c r="A630" s="4"/>
      <c r="B630" s="4"/>
    </row>
    <row r="631" spans="1:2" ht="15.75" customHeight="1">
      <c r="A631" s="4"/>
      <c r="B631" s="4"/>
    </row>
    <row r="632" spans="1:2" ht="15.75" customHeight="1">
      <c r="A632" s="4"/>
      <c r="B632" s="4"/>
    </row>
    <row r="633" spans="1:2" ht="15.75" customHeight="1">
      <c r="A633" s="4"/>
      <c r="B633" s="4"/>
    </row>
    <row r="634" spans="1:2" ht="15.75" customHeight="1">
      <c r="A634" s="4"/>
      <c r="B634" s="4"/>
    </row>
    <row r="635" spans="1:2" ht="15.75" customHeight="1">
      <c r="A635" s="4"/>
      <c r="B635" s="4"/>
    </row>
    <row r="636" spans="1:2" ht="15.75" customHeight="1">
      <c r="A636" s="4"/>
      <c r="B636" s="4"/>
    </row>
    <row r="637" spans="1:2" ht="15.75" customHeight="1">
      <c r="A637" s="4"/>
      <c r="B637" s="4"/>
    </row>
    <row r="638" spans="1:2" ht="15.75" customHeight="1">
      <c r="A638" s="4"/>
      <c r="B638" s="4"/>
    </row>
    <row r="639" spans="1:2" ht="15.75" customHeight="1">
      <c r="A639" s="4"/>
      <c r="B639" s="4"/>
    </row>
    <row r="640" spans="1:2" ht="15.75" customHeight="1">
      <c r="A640" s="4"/>
      <c r="B640" s="4"/>
    </row>
    <row r="641" spans="1:2" ht="15.75" customHeight="1">
      <c r="A641" s="4"/>
      <c r="B641" s="4"/>
    </row>
    <row r="642" spans="1:2" ht="15.75" customHeight="1">
      <c r="A642" s="4"/>
      <c r="B642" s="4"/>
    </row>
    <row r="643" spans="1:2" ht="15.75" customHeight="1">
      <c r="A643" s="4"/>
      <c r="B643" s="4"/>
    </row>
    <row r="644" spans="1:2" ht="15.75" customHeight="1">
      <c r="A644" s="4"/>
      <c r="B644" s="4"/>
    </row>
    <row r="645" spans="1:2" ht="15.75" customHeight="1">
      <c r="A645" s="4"/>
      <c r="B645" s="4"/>
    </row>
    <row r="646" spans="1:2" ht="15.75" customHeight="1">
      <c r="A646" s="4"/>
      <c r="B646" s="4"/>
    </row>
    <row r="647" spans="1:2" ht="15.75" customHeight="1">
      <c r="A647" s="4"/>
      <c r="B647" s="4"/>
    </row>
    <row r="648" spans="1:2" ht="15.75" customHeight="1">
      <c r="A648" s="4"/>
      <c r="B648" s="4"/>
    </row>
    <row r="649" spans="1:2" ht="15.75" customHeight="1">
      <c r="A649" s="4"/>
      <c r="B649" s="4"/>
    </row>
    <row r="650" spans="1:2" ht="15.75" customHeight="1">
      <c r="A650" s="4"/>
      <c r="B650" s="4"/>
    </row>
    <row r="651" spans="1:2" ht="15.75" customHeight="1">
      <c r="A651" s="4"/>
      <c r="B651" s="4"/>
    </row>
    <row r="652" spans="1:2" ht="15.75" customHeight="1">
      <c r="A652" s="4"/>
      <c r="B652" s="4"/>
    </row>
    <row r="653" spans="1:2" ht="15.75" customHeight="1">
      <c r="A653" s="4"/>
      <c r="B653" s="4"/>
    </row>
    <row r="654" spans="1:2" ht="15.75" customHeight="1">
      <c r="A654" s="4"/>
      <c r="B654" s="4"/>
    </row>
    <row r="655" spans="1:2" ht="15.75" customHeight="1">
      <c r="A655" s="4"/>
      <c r="B655" s="4"/>
    </row>
    <row r="656" spans="1:2" ht="15.75" customHeight="1">
      <c r="A656" s="4"/>
      <c r="B656" s="4"/>
    </row>
    <row r="657" spans="1:2" ht="15.75" customHeight="1">
      <c r="A657" s="4"/>
      <c r="B657" s="4"/>
    </row>
    <row r="658" spans="1:2" ht="15.75" customHeight="1">
      <c r="A658" s="4"/>
      <c r="B658" s="4"/>
    </row>
    <row r="659" spans="1:2" ht="15.75" customHeight="1">
      <c r="A659" s="4"/>
      <c r="B659" s="4"/>
    </row>
    <row r="660" spans="1:2" ht="15.75" customHeight="1">
      <c r="A660" s="4"/>
      <c r="B660" s="4"/>
    </row>
    <row r="661" spans="1:2" ht="15.75" customHeight="1">
      <c r="A661" s="4"/>
      <c r="B661" s="4"/>
    </row>
    <row r="662" spans="1:2" ht="15.75" customHeight="1">
      <c r="A662" s="4"/>
      <c r="B662" s="4"/>
    </row>
    <row r="663" spans="1:2" ht="15.75" customHeight="1">
      <c r="A663" s="4"/>
      <c r="B663" s="4"/>
    </row>
    <row r="664" spans="1:2" ht="15.75" customHeight="1">
      <c r="A664" s="4"/>
      <c r="B664" s="4"/>
    </row>
    <row r="665" spans="1:2" ht="15.75" customHeight="1">
      <c r="A665" s="4"/>
      <c r="B665" s="4"/>
    </row>
    <row r="666" spans="1:2" ht="15.75" customHeight="1">
      <c r="A666" s="4"/>
      <c r="B666" s="4"/>
    </row>
    <row r="667" spans="1:2" ht="15.75" customHeight="1">
      <c r="A667" s="4"/>
      <c r="B667" s="4"/>
    </row>
    <row r="668" spans="1:2" ht="15.75" customHeight="1">
      <c r="A668" s="4"/>
      <c r="B668" s="4"/>
    </row>
    <row r="669" spans="1:2" ht="15.75" customHeight="1">
      <c r="A669" s="4"/>
      <c r="B669" s="4"/>
    </row>
    <row r="670" spans="1:2" ht="15.75" customHeight="1">
      <c r="A670" s="4"/>
      <c r="B670" s="4"/>
    </row>
    <row r="671" spans="1:2" ht="15.75" customHeight="1">
      <c r="A671" s="4"/>
      <c r="B671" s="4"/>
    </row>
    <row r="672" spans="1:2" ht="15.75" customHeight="1">
      <c r="A672" s="4"/>
      <c r="B672" s="4"/>
    </row>
    <row r="673" spans="1:2" ht="15.75" customHeight="1">
      <c r="A673" s="4"/>
      <c r="B673" s="4"/>
    </row>
    <row r="674" spans="1:2" ht="15.75" customHeight="1">
      <c r="A674" s="4"/>
      <c r="B674" s="4"/>
    </row>
    <row r="675" spans="1:2" ht="15.75" customHeight="1">
      <c r="A675" s="4"/>
      <c r="B675" s="4"/>
    </row>
    <row r="676" spans="1:2" ht="15.75" customHeight="1">
      <c r="A676" s="4"/>
      <c r="B676" s="4"/>
    </row>
    <row r="677" spans="1:2" ht="15.75" customHeight="1">
      <c r="A677" s="4"/>
      <c r="B677" s="4"/>
    </row>
    <row r="678" spans="1:2" ht="15.75" customHeight="1">
      <c r="A678" s="4"/>
      <c r="B678" s="4"/>
    </row>
    <row r="679" spans="1:2" ht="15.75" customHeight="1">
      <c r="A679" s="4"/>
      <c r="B679" s="4"/>
    </row>
    <row r="680" spans="1:2" ht="15.75" customHeight="1">
      <c r="A680" s="4"/>
      <c r="B680" s="4"/>
    </row>
    <row r="681" spans="1:2" ht="15.75" customHeight="1">
      <c r="A681" s="4"/>
      <c r="B681" s="4"/>
    </row>
    <row r="682" spans="1:2" ht="15.75" customHeight="1">
      <c r="A682" s="4"/>
      <c r="B682" s="4"/>
    </row>
    <row r="683" spans="1:2" ht="15.75" customHeight="1">
      <c r="A683" s="4"/>
      <c r="B683" s="4"/>
    </row>
    <row r="684" spans="1:2" ht="15.75" customHeight="1">
      <c r="A684" s="4"/>
      <c r="B684" s="4"/>
    </row>
    <row r="685" spans="1:2" ht="15.75" customHeight="1">
      <c r="A685" s="4"/>
      <c r="B685" s="4"/>
    </row>
    <row r="686" spans="1:2" ht="15.75" customHeight="1">
      <c r="A686" s="4"/>
      <c r="B686" s="4"/>
    </row>
    <row r="687" spans="1:2" ht="15.75" customHeight="1">
      <c r="A687" s="4"/>
      <c r="B687" s="4"/>
    </row>
    <row r="688" spans="1:2" ht="15.75" customHeight="1">
      <c r="A688" s="4"/>
      <c r="B688" s="4"/>
    </row>
    <row r="689" spans="1:2" ht="15.75" customHeight="1">
      <c r="A689" s="4"/>
      <c r="B689" s="4"/>
    </row>
    <row r="690" spans="1:2" ht="15.75" customHeight="1">
      <c r="A690" s="4"/>
      <c r="B690" s="4"/>
    </row>
    <row r="691" spans="1:2" ht="15.75" customHeight="1">
      <c r="A691" s="4"/>
      <c r="B691" s="4"/>
    </row>
    <row r="692" spans="1:2" ht="15.75" customHeight="1">
      <c r="A692" s="4"/>
      <c r="B692" s="4"/>
    </row>
    <row r="693" spans="1:2" ht="15.75" customHeight="1">
      <c r="A693" s="4"/>
      <c r="B693" s="4"/>
    </row>
    <row r="694" spans="1:2" ht="15.75" customHeight="1">
      <c r="A694" s="4"/>
      <c r="B694" s="4"/>
    </row>
    <row r="695" spans="1:2" ht="15.75" customHeight="1">
      <c r="A695" s="4"/>
      <c r="B695" s="4"/>
    </row>
    <row r="696" spans="1:2" ht="15.75" customHeight="1">
      <c r="A696" s="4"/>
      <c r="B696" s="4"/>
    </row>
    <row r="697" spans="1:2" ht="15.75" customHeight="1">
      <c r="A697" s="4"/>
      <c r="B697" s="4"/>
    </row>
    <row r="698" spans="1:2" ht="15.75" customHeight="1">
      <c r="A698" s="4"/>
      <c r="B698" s="4"/>
    </row>
    <row r="699" spans="1:2" ht="15.75" customHeight="1">
      <c r="A699" s="4"/>
      <c r="B699" s="4"/>
    </row>
    <row r="700" spans="1:2" ht="15.75" customHeight="1">
      <c r="A700" s="4"/>
      <c r="B700" s="4"/>
    </row>
    <row r="701" spans="1:2" ht="15.75" customHeight="1">
      <c r="A701" s="4"/>
      <c r="B701" s="4"/>
    </row>
    <row r="702" spans="1:2" ht="15.75" customHeight="1">
      <c r="A702" s="4"/>
      <c r="B702" s="4"/>
    </row>
    <row r="703" spans="1:2" ht="15.75" customHeight="1">
      <c r="A703" s="4"/>
      <c r="B703" s="4"/>
    </row>
    <row r="704" spans="1:2" ht="15.75" customHeight="1">
      <c r="A704" s="4"/>
      <c r="B704" s="4"/>
    </row>
    <row r="705" spans="1:2" ht="15.75" customHeight="1">
      <c r="A705" s="4"/>
      <c r="B705" s="4"/>
    </row>
    <row r="706" spans="1:2" ht="15.75" customHeight="1">
      <c r="A706" s="4"/>
      <c r="B706" s="4"/>
    </row>
    <row r="707" spans="1:2" ht="15.75" customHeight="1">
      <c r="A707" s="4"/>
      <c r="B707" s="4"/>
    </row>
    <row r="708" spans="1:2" ht="15.75" customHeight="1">
      <c r="A708" s="4"/>
      <c r="B708" s="4"/>
    </row>
    <row r="709" spans="1:2" ht="15.75" customHeight="1">
      <c r="A709" s="4"/>
      <c r="B709" s="4"/>
    </row>
    <row r="710" spans="1:2" ht="15.75" customHeight="1">
      <c r="A710" s="4"/>
      <c r="B710" s="4"/>
    </row>
    <row r="711" spans="1:2" ht="15.75" customHeight="1">
      <c r="A711" s="4"/>
      <c r="B711" s="4"/>
    </row>
    <row r="712" spans="1:2" ht="15.75" customHeight="1">
      <c r="A712" s="4"/>
      <c r="B712" s="4"/>
    </row>
    <row r="713" spans="1:2" ht="15.75" customHeight="1">
      <c r="A713" s="4"/>
      <c r="B713" s="4"/>
    </row>
    <row r="714" spans="1:2" ht="15.75" customHeight="1">
      <c r="A714" s="4"/>
      <c r="B714" s="4"/>
    </row>
    <row r="715" spans="1:2" ht="15.75" customHeight="1">
      <c r="A715" s="4"/>
      <c r="B715" s="4"/>
    </row>
    <row r="716" spans="1:2" ht="15.75" customHeight="1">
      <c r="A716" s="4"/>
      <c r="B716" s="4"/>
    </row>
    <row r="717" spans="1:2" ht="15.75" customHeight="1">
      <c r="A717" s="4"/>
      <c r="B717" s="4"/>
    </row>
    <row r="718" spans="1:2" ht="15.75" customHeight="1">
      <c r="A718" s="4"/>
      <c r="B718" s="4"/>
    </row>
    <row r="719" spans="1:2" ht="15.75" customHeight="1">
      <c r="A719" s="4"/>
      <c r="B719" s="4"/>
    </row>
    <row r="720" spans="1:2" ht="15.75" customHeight="1">
      <c r="A720" s="4"/>
      <c r="B720" s="4"/>
    </row>
    <row r="721" spans="1:2" ht="15.75" customHeight="1">
      <c r="A721" s="4"/>
      <c r="B721" s="4"/>
    </row>
    <row r="722" spans="1:2" ht="15.75" customHeight="1">
      <c r="A722" s="4"/>
      <c r="B722" s="4"/>
    </row>
    <row r="723" spans="1:2" ht="15.75" customHeight="1">
      <c r="A723" s="4"/>
      <c r="B723" s="4"/>
    </row>
    <row r="724" spans="1:2" ht="15.75" customHeight="1">
      <c r="A724" s="4"/>
      <c r="B724" s="4"/>
    </row>
    <row r="725" spans="1:2" ht="15.75" customHeight="1">
      <c r="A725" s="4"/>
      <c r="B725" s="4"/>
    </row>
    <row r="726" spans="1:2" ht="15.75" customHeight="1">
      <c r="A726" s="4"/>
      <c r="B726" s="4"/>
    </row>
    <row r="727" spans="1:2" ht="15.75" customHeight="1">
      <c r="A727" s="4"/>
      <c r="B727" s="4"/>
    </row>
    <row r="728" spans="1:2" ht="15.75" customHeight="1">
      <c r="A728" s="4"/>
      <c r="B728" s="4"/>
    </row>
    <row r="729" spans="1:2" ht="15.75" customHeight="1">
      <c r="A729" s="4"/>
      <c r="B729" s="4"/>
    </row>
    <row r="730" spans="1:2" ht="15.75" customHeight="1">
      <c r="A730" s="4"/>
      <c r="B730" s="4"/>
    </row>
    <row r="731" spans="1:2" ht="15.75" customHeight="1">
      <c r="A731" s="4"/>
      <c r="B731" s="4"/>
    </row>
    <row r="732" spans="1:2" ht="15.75" customHeight="1">
      <c r="A732" s="4"/>
      <c r="B732" s="4"/>
    </row>
    <row r="733" spans="1:2" ht="15.75" customHeight="1">
      <c r="A733" s="4"/>
      <c r="B733" s="4"/>
    </row>
    <row r="734" spans="1:2" ht="15.75" customHeight="1">
      <c r="A734" s="4"/>
      <c r="B734" s="4"/>
    </row>
    <row r="735" spans="1:2" ht="15.75" customHeight="1">
      <c r="A735" s="4"/>
      <c r="B735" s="4"/>
    </row>
    <row r="736" spans="1:2" ht="15.75" customHeight="1">
      <c r="A736" s="4"/>
      <c r="B736" s="4"/>
    </row>
    <row r="737" spans="1:2" ht="15.75" customHeight="1">
      <c r="A737" s="4"/>
      <c r="B737" s="4"/>
    </row>
    <row r="738" spans="1:2" ht="15.75" customHeight="1">
      <c r="A738" s="4"/>
      <c r="B738" s="4"/>
    </row>
    <row r="739" spans="1:2" ht="15.75" customHeight="1">
      <c r="A739" s="4"/>
      <c r="B739" s="4"/>
    </row>
    <row r="740" spans="1:2" ht="15.75" customHeight="1">
      <c r="A740" s="4"/>
      <c r="B740" s="4"/>
    </row>
    <row r="741" spans="1:2" ht="15.75" customHeight="1">
      <c r="A741" s="4"/>
      <c r="B741" s="4"/>
    </row>
    <row r="742" spans="1:2" ht="15.75" customHeight="1">
      <c r="A742" s="4"/>
      <c r="B742" s="4"/>
    </row>
    <row r="743" spans="1:2" ht="15.75" customHeight="1">
      <c r="A743" s="4"/>
      <c r="B743" s="4"/>
    </row>
    <row r="744" spans="1:2" ht="15.75" customHeight="1">
      <c r="A744" s="4"/>
      <c r="B744" s="4"/>
    </row>
    <row r="745" spans="1:2" ht="15.75" customHeight="1">
      <c r="A745" s="4"/>
      <c r="B745" s="4"/>
    </row>
    <row r="746" spans="1:2" ht="15.75" customHeight="1">
      <c r="A746" s="4"/>
      <c r="B746" s="4"/>
    </row>
    <row r="747" spans="1:2" ht="15.75" customHeight="1">
      <c r="A747" s="4"/>
      <c r="B747" s="4"/>
    </row>
    <row r="748" spans="1:2" ht="15.75" customHeight="1">
      <c r="A748" s="4"/>
      <c r="B748" s="4"/>
    </row>
    <row r="749" spans="1:2" ht="15.75" customHeight="1">
      <c r="A749" s="4"/>
      <c r="B749" s="4"/>
    </row>
    <row r="750" spans="1:2" ht="15.75" customHeight="1">
      <c r="A750" s="4"/>
      <c r="B750" s="4"/>
    </row>
    <row r="751" spans="1:2" ht="15.75" customHeight="1">
      <c r="A751" s="4"/>
      <c r="B751" s="4"/>
    </row>
    <row r="752" spans="1:2" ht="15.75" customHeight="1">
      <c r="A752" s="4"/>
      <c r="B752" s="4"/>
    </row>
    <row r="753" spans="1:2" ht="15.75" customHeight="1">
      <c r="A753" s="4"/>
      <c r="B753" s="4"/>
    </row>
    <row r="754" spans="1:2" ht="15.75" customHeight="1">
      <c r="A754" s="4"/>
      <c r="B754" s="4"/>
    </row>
    <row r="755" spans="1:2" ht="15.75" customHeight="1">
      <c r="A755" s="4"/>
      <c r="B755" s="4"/>
    </row>
    <row r="756" spans="1:2" ht="15.75" customHeight="1">
      <c r="A756" s="4"/>
      <c r="B756" s="4"/>
    </row>
    <row r="757" spans="1:2" ht="15.75" customHeight="1">
      <c r="A757" s="4"/>
      <c r="B757" s="4"/>
    </row>
    <row r="758" spans="1:2" ht="15.75" customHeight="1">
      <c r="A758" s="4"/>
      <c r="B758" s="4"/>
    </row>
    <row r="759" spans="1:2" ht="15.75" customHeight="1">
      <c r="A759" s="4"/>
      <c r="B759" s="4"/>
    </row>
    <row r="760" spans="1:2" ht="15.75" customHeight="1">
      <c r="A760" s="4"/>
      <c r="B760" s="4"/>
    </row>
    <row r="761" spans="1:2" ht="15.75" customHeight="1">
      <c r="A761" s="4"/>
      <c r="B761" s="4"/>
    </row>
    <row r="762" spans="1:2" ht="15.75" customHeight="1">
      <c r="A762" s="4"/>
      <c r="B762" s="4"/>
    </row>
    <row r="763" spans="1:2" ht="15.75" customHeight="1">
      <c r="A763" s="4"/>
      <c r="B763" s="4"/>
    </row>
    <row r="764" spans="1:2" ht="15.75" customHeight="1">
      <c r="A764" s="4"/>
      <c r="B764" s="4"/>
    </row>
    <row r="765" spans="1:2" ht="15.75" customHeight="1">
      <c r="A765" s="4"/>
      <c r="B765" s="4"/>
    </row>
    <row r="766" spans="1:2" ht="15.75" customHeight="1">
      <c r="A766" s="4"/>
      <c r="B766" s="4"/>
    </row>
    <row r="767" spans="1:2" ht="15.75" customHeight="1">
      <c r="A767" s="4"/>
      <c r="B767" s="4"/>
    </row>
    <row r="768" spans="1:2" ht="15.75" customHeight="1">
      <c r="A768" s="4"/>
      <c r="B768" s="4"/>
    </row>
    <row r="769" spans="1:2" ht="15.75" customHeight="1">
      <c r="A769" s="4"/>
      <c r="B769" s="4"/>
    </row>
    <row r="770" spans="1:2" ht="15.75" customHeight="1">
      <c r="A770" s="4"/>
      <c r="B770" s="4"/>
    </row>
    <row r="771" spans="1:2" ht="15.75" customHeight="1">
      <c r="A771" s="4"/>
      <c r="B771" s="4"/>
    </row>
    <row r="772" spans="1:2" ht="15.75" customHeight="1">
      <c r="A772" s="4"/>
      <c r="B772" s="4"/>
    </row>
    <row r="773" spans="1:2" ht="15.75" customHeight="1">
      <c r="A773" s="4"/>
      <c r="B773" s="4"/>
    </row>
    <row r="774" spans="1:2" ht="15.75" customHeight="1">
      <c r="A774" s="4"/>
      <c r="B774" s="4"/>
    </row>
    <row r="775" spans="1:2" ht="15.75" customHeight="1">
      <c r="A775" s="4"/>
      <c r="B775" s="4"/>
    </row>
    <row r="776" spans="1:2" ht="15.75" customHeight="1">
      <c r="A776" s="4"/>
      <c r="B776" s="4"/>
    </row>
    <row r="777" spans="1:2" ht="15.75" customHeight="1">
      <c r="A777" s="4"/>
      <c r="B777" s="4"/>
    </row>
    <row r="778" spans="1:2" ht="15.75" customHeight="1">
      <c r="A778" s="4"/>
      <c r="B778" s="4"/>
    </row>
    <row r="779" spans="1:2" ht="15.75" customHeight="1">
      <c r="A779" s="4"/>
      <c r="B779" s="4"/>
    </row>
    <row r="780" spans="1:2" ht="15.75" customHeight="1">
      <c r="A780" s="4"/>
      <c r="B780" s="4"/>
    </row>
    <row r="781" spans="1:2" ht="15.75" customHeight="1">
      <c r="A781" s="4"/>
      <c r="B781" s="4"/>
    </row>
    <row r="782" spans="1:2" ht="15.75" customHeight="1">
      <c r="A782" s="4"/>
      <c r="B782" s="4"/>
    </row>
    <row r="783" spans="1:2" ht="15.75" customHeight="1">
      <c r="A783" s="4"/>
      <c r="B783" s="4"/>
    </row>
    <row r="784" spans="1:2" ht="15.75" customHeight="1">
      <c r="A784" s="4"/>
      <c r="B784" s="4"/>
    </row>
    <row r="785" spans="1:2" ht="15.75" customHeight="1">
      <c r="A785" s="4"/>
      <c r="B785" s="4"/>
    </row>
    <row r="786" spans="1:2" ht="15.75" customHeight="1">
      <c r="A786" s="4"/>
      <c r="B786" s="4"/>
    </row>
    <row r="787" spans="1:2" ht="15.75" customHeight="1">
      <c r="A787" s="4"/>
      <c r="B787" s="4"/>
    </row>
    <row r="788" spans="1:2" ht="15.75" customHeight="1">
      <c r="A788" s="4"/>
      <c r="B788" s="4"/>
    </row>
    <row r="789" spans="1:2" ht="15.75" customHeight="1">
      <c r="A789" s="4"/>
      <c r="B789" s="4"/>
    </row>
    <row r="790" spans="1:2" ht="15.75" customHeight="1">
      <c r="A790" s="4"/>
      <c r="B790" s="4"/>
    </row>
    <row r="791" spans="1:2" ht="15.75" customHeight="1">
      <c r="A791" s="4"/>
      <c r="B791" s="4"/>
    </row>
    <row r="792" spans="1:2" ht="15.75" customHeight="1">
      <c r="A792" s="4"/>
      <c r="B792" s="4"/>
    </row>
    <row r="793" spans="1:2" ht="15.75" customHeight="1">
      <c r="A793" s="4"/>
      <c r="B793" s="4"/>
    </row>
    <row r="794" spans="1:2" ht="15.75" customHeight="1">
      <c r="A794" s="4"/>
      <c r="B794" s="4"/>
    </row>
    <row r="795" spans="1:2" ht="15.75" customHeight="1">
      <c r="A795" s="4"/>
      <c r="B795" s="4"/>
    </row>
    <row r="796" spans="1:2" ht="15.75" customHeight="1">
      <c r="A796" s="4"/>
      <c r="B796" s="4"/>
    </row>
    <row r="797" spans="1:2" ht="15.75" customHeight="1">
      <c r="A797" s="4"/>
      <c r="B797" s="4"/>
    </row>
    <row r="798" spans="1:2" ht="15.75" customHeight="1">
      <c r="A798" s="4"/>
      <c r="B798" s="4"/>
    </row>
    <row r="799" spans="1:2" ht="15.75" customHeight="1">
      <c r="A799" s="4"/>
      <c r="B799" s="4"/>
    </row>
    <row r="800" spans="1:2" ht="15.75" customHeight="1">
      <c r="A800" s="4"/>
      <c r="B800" s="4"/>
    </row>
    <row r="801" spans="1:2" ht="15.75" customHeight="1">
      <c r="A801" s="4"/>
      <c r="B801" s="4"/>
    </row>
    <row r="802" spans="1:2" ht="15.75" customHeight="1">
      <c r="A802" s="4"/>
      <c r="B802" s="4"/>
    </row>
    <row r="803" spans="1:2" ht="15.75" customHeight="1">
      <c r="A803" s="4"/>
      <c r="B803" s="4"/>
    </row>
    <row r="804" spans="1:2" ht="15.75" customHeight="1">
      <c r="A804" s="4"/>
      <c r="B804" s="4"/>
    </row>
    <row r="805" spans="1:2" ht="15.75" customHeight="1">
      <c r="A805" s="4"/>
      <c r="B805" s="4"/>
    </row>
    <row r="806" spans="1:2" ht="15.75" customHeight="1">
      <c r="A806" s="4"/>
      <c r="B806" s="4"/>
    </row>
    <row r="807" spans="1:2" ht="15.75" customHeight="1">
      <c r="A807" s="4"/>
      <c r="B807" s="4"/>
    </row>
    <row r="808" spans="1:2" ht="15.75" customHeight="1">
      <c r="A808" s="4"/>
      <c r="B808" s="4"/>
    </row>
    <row r="809" spans="1:2" ht="15.75" customHeight="1">
      <c r="A809" s="4"/>
      <c r="B809" s="4"/>
    </row>
    <row r="810" spans="1:2" ht="15.75" customHeight="1">
      <c r="A810" s="4"/>
      <c r="B810" s="4"/>
    </row>
    <row r="811" spans="1:2" ht="15.75" customHeight="1">
      <c r="A811" s="4"/>
      <c r="B811" s="4"/>
    </row>
    <row r="812" spans="1:2" ht="15.75" customHeight="1">
      <c r="A812" s="4"/>
      <c r="B812" s="4"/>
    </row>
    <row r="813" spans="1:2" ht="15.75" customHeight="1">
      <c r="A813" s="4"/>
      <c r="B813" s="4"/>
    </row>
    <row r="814" spans="1:2" ht="15.75" customHeight="1">
      <c r="A814" s="4"/>
      <c r="B814" s="4"/>
    </row>
    <row r="815" spans="1:2" ht="15.75" customHeight="1">
      <c r="A815" s="4"/>
      <c r="B815" s="4"/>
    </row>
    <row r="816" spans="1:2" ht="15.75" customHeight="1">
      <c r="A816" s="4"/>
      <c r="B816" s="4"/>
    </row>
    <row r="817" spans="1:2" ht="15.75" customHeight="1">
      <c r="A817" s="4"/>
      <c r="B817" s="4"/>
    </row>
    <row r="818" spans="1:2" ht="15.75" customHeight="1">
      <c r="A818" s="4"/>
      <c r="B818" s="4"/>
    </row>
    <row r="819" spans="1:2" ht="15.75" customHeight="1">
      <c r="A819" s="4"/>
      <c r="B819" s="4"/>
    </row>
    <row r="820" spans="1:2" ht="15.75" customHeight="1">
      <c r="A820" s="4"/>
      <c r="B820" s="4"/>
    </row>
    <row r="821" spans="1:2" ht="15.75" customHeight="1">
      <c r="A821" s="4"/>
      <c r="B821" s="4"/>
    </row>
    <row r="822" spans="1:2" ht="15.75" customHeight="1">
      <c r="A822" s="4"/>
      <c r="B822" s="4"/>
    </row>
    <row r="823" spans="1:2" ht="15.75" customHeight="1">
      <c r="A823" s="4"/>
      <c r="B823" s="4"/>
    </row>
    <row r="824" spans="1:2" ht="15.75" customHeight="1">
      <c r="A824" s="4"/>
      <c r="B824" s="4"/>
    </row>
    <row r="825" spans="1:2" ht="15.75" customHeight="1">
      <c r="A825" s="4"/>
      <c r="B825" s="4"/>
    </row>
    <row r="826" spans="1:2" ht="15.75" customHeight="1">
      <c r="A826" s="4"/>
      <c r="B826" s="4"/>
    </row>
    <row r="827" spans="1:2" ht="15.75" customHeight="1">
      <c r="A827" s="4"/>
      <c r="B827" s="4"/>
    </row>
    <row r="828" spans="1:2" ht="15.75" customHeight="1">
      <c r="A828" s="4"/>
      <c r="B828" s="4"/>
    </row>
    <row r="829" spans="1:2" ht="15.75" customHeight="1">
      <c r="A829" s="4"/>
      <c r="B829" s="4"/>
    </row>
    <row r="830" spans="1:2" ht="15.75" customHeight="1">
      <c r="A830" s="4"/>
      <c r="B830" s="4"/>
    </row>
    <row r="831" spans="1:2" ht="15.75" customHeight="1">
      <c r="A831" s="4"/>
      <c r="B831" s="4"/>
    </row>
    <row r="832" spans="1:2" ht="15.75" customHeight="1">
      <c r="A832" s="4"/>
      <c r="B832" s="4"/>
    </row>
    <row r="833" spans="1:2" ht="15.75" customHeight="1">
      <c r="A833" s="4"/>
      <c r="B833" s="4"/>
    </row>
    <row r="834" spans="1:2" ht="15.75" customHeight="1">
      <c r="A834" s="4"/>
      <c r="B834" s="4"/>
    </row>
    <row r="835" spans="1:2" ht="15.75" customHeight="1">
      <c r="A835" s="4"/>
      <c r="B835" s="4"/>
    </row>
    <row r="836" spans="1:2" ht="15.75" customHeight="1">
      <c r="A836" s="4"/>
      <c r="B836" s="4"/>
    </row>
    <row r="837" spans="1:2" ht="15.75" customHeight="1">
      <c r="A837" s="4"/>
      <c r="B837" s="4"/>
    </row>
    <row r="838" spans="1:2" ht="15.75" customHeight="1">
      <c r="A838" s="4"/>
      <c r="B838" s="4"/>
    </row>
    <row r="839" spans="1:2" ht="15.75" customHeight="1">
      <c r="A839" s="4"/>
      <c r="B839" s="4"/>
    </row>
    <row r="840" spans="1:2" ht="15.75" customHeight="1">
      <c r="A840" s="4"/>
      <c r="B840" s="4"/>
    </row>
    <row r="841" spans="1:2" ht="15.75" customHeight="1">
      <c r="A841" s="4"/>
      <c r="B841" s="4"/>
    </row>
    <row r="842" spans="1:2" ht="15.75" customHeight="1">
      <c r="A842" s="4"/>
      <c r="B842" s="4"/>
    </row>
    <row r="843" spans="1:2" ht="15.75" customHeight="1">
      <c r="A843" s="4"/>
      <c r="B843" s="4"/>
    </row>
    <row r="844" spans="1:2" ht="15.75" customHeight="1">
      <c r="A844" s="4"/>
      <c r="B844" s="4"/>
    </row>
    <row r="845" spans="1:2" ht="15.75" customHeight="1">
      <c r="A845" s="4"/>
      <c r="B845" s="4"/>
    </row>
    <row r="846" spans="1:2" ht="15.75" customHeight="1">
      <c r="A846" s="4"/>
      <c r="B846" s="4"/>
    </row>
    <row r="847" spans="1:2" ht="15.75" customHeight="1">
      <c r="A847" s="4"/>
      <c r="B847" s="4"/>
    </row>
    <row r="848" spans="1:2" ht="15.75" customHeight="1">
      <c r="A848" s="4"/>
      <c r="B848" s="4"/>
    </row>
    <row r="849" spans="1:2" ht="15.75" customHeight="1">
      <c r="A849" s="4"/>
      <c r="B849" s="4"/>
    </row>
    <row r="850" spans="1:2" ht="15.75" customHeight="1">
      <c r="A850" s="4"/>
      <c r="B850" s="4"/>
    </row>
    <row r="851" spans="1:2" ht="15.75" customHeight="1">
      <c r="A851" s="4"/>
      <c r="B851" s="4"/>
    </row>
    <row r="852" spans="1:2" ht="15.75" customHeight="1">
      <c r="A852" s="4"/>
      <c r="B852" s="4"/>
    </row>
    <row r="853" spans="1:2" ht="15.75" customHeight="1">
      <c r="A853" s="4"/>
      <c r="B853" s="4"/>
    </row>
    <row r="854" spans="1:2" ht="15.75" customHeight="1">
      <c r="A854" s="4"/>
      <c r="B854" s="4"/>
    </row>
    <row r="855" spans="1:2" ht="15.75" customHeight="1">
      <c r="A855" s="4"/>
      <c r="B855" s="4"/>
    </row>
    <row r="856" spans="1:2" ht="15.75" customHeight="1">
      <c r="A856" s="4"/>
      <c r="B856" s="4"/>
    </row>
    <row r="857" spans="1:2" ht="15.75" customHeight="1">
      <c r="A857" s="4"/>
      <c r="B857" s="4"/>
    </row>
    <row r="858" spans="1:2" ht="15.75" customHeight="1">
      <c r="A858" s="4"/>
      <c r="B858" s="4"/>
    </row>
    <row r="859" spans="1:2" ht="15.75" customHeight="1">
      <c r="A859" s="4"/>
      <c r="B859" s="4"/>
    </row>
    <row r="860" spans="1:2" ht="15.75" customHeight="1">
      <c r="A860" s="4"/>
      <c r="B860" s="4"/>
    </row>
    <row r="861" spans="1:2" ht="15.75" customHeight="1">
      <c r="A861" s="4"/>
      <c r="B861" s="4"/>
    </row>
    <row r="862" spans="1:2" ht="15.75" customHeight="1">
      <c r="A862" s="4"/>
      <c r="B862" s="4"/>
    </row>
    <row r="863" spans="1:2" ht="15.75" customHeight="1">
      <c r="A863" s="4"/>
      <c r="B863" s="4"/>
    </row>
    <row r="864" spans="1:2" ht="15.75" customHeight="1">
      <c r="A864" s="4"/>
      <c r="B864" s="4"/>
    </row>
    <row r="865" spans="1:2" ht="15.75" customHeight="1">
      <c r="A865" s="4"/>
      <c r="B865" s="4"/>
    </row>
    <row r="866" spans="1:2" ht="15.75" customHeight="1">
      <c r="A866" s="4"/>
      <c r="B866" s="4"/>
    </row>
    <row r="867" spans="1:2" ht="15.75" customHeight="1">
      <c r="A867" s="4"/>
      <c r="B867" s="4"/>
    </row>
    <row r="868" spans="1:2" ht="15.75" customHeight="1">
      <c r="A868" s="4"/>
      <c r="B868" s="4"/>
    </row>
    <row r="869" spans="1:2" ht="15.75" customHeight="1">
      <c r="A869" s="4"/>
      <c r="B869" s="4"/>
    </row>
    <row r="870" spans="1:2" ht="15.75" customHeight="1">
      <c r="A870" s="4"/>
      <c r="B870" s="4"/>
    </row>
    <row r="871" spans="1:2" ht="15.75" customHeight="1">
      <c r="A871" s="4"/>
      <c r="B871" s="4"/>
    </row>
    <row r="872" spans="1:2" ht="15.75" customHeight="1">
      <c r="A872" s="4"/>
      <c r="B872" s="4"/>
    </row>
    <row r="873" spans="1:2" ht="15.75" customHeight="1">
      <c r="A873" s="4"/>
      <c r="B873" s="4"/>
    </row>
    <row r="874" spans="1:2" ht="15.75" customHeight="1">
      <c r="A874" s="4"/>
      <c r="B874" s="4"/>
    </row>
    <row r="875" spans="1:2" ht="15.75" customHeight="1">
      <c r="A875" s="4"/>
      <c r="B875" s="4"/>
    </row>
    <row r="876" spans="1:2" ht="15.75" customHeight="1">
      <c r="A876" s="4"/>
      <c r="B876" s="4"/>
    </row>
    <row r="877" spans="1:2" ht="15.75" customHeight="1">
      <c r="A877" s="4"/>
      <c r="B877" s="4"/>
    </row>
    <row r="878" spans="1:2" ht="15.75" customHeight="1">
      <c r="A878" s="4"/>
      <c r="B878" s="4"/>
    </row>
    <row r="879" spans="1:2" ht="15.75" customHeight="1">
      <c r="A879" s="4"/>
      <c r="B879" s="4"/>
    </row>
    <row r="880" spans="1:2" ht="15.75" customHeight="1">
      <c r="A880" s="4"/>
      <c r="B880" s="4"/>
    </row>
    <row r="881" spans="1:2" ht="15.75" customHeight="1">
      <c r="A881" s="4"/>
      <c r="B881" s="4"/>
    </row>
    <row r="882" spans="1:2" ht="15.75" customHeight="1">
      <c r="A882" s="4"/>
      <c r="B882" s="4"/>
    </row>
    <row r="883" spans="1:2" ht="15.75" customHeight="1">
      <c r="A883" s="4"/>
      <c r="B883" s="4"/>
    </row>
    <row r="884" spans="1:2" ht="15.75" customHeight="1">
      <c r="A884" s="4"/>
      <c r="B884" s="4"/>
    </row>
    <row r="885" spans="1:2" ht="15.75" customHeight="1">
      <c r="A885" s="4"/>
      <c r="B885" s="4"/>
    </row>
    <row r="886" spans="1:2" ht="15.75" customHeight="1">
      <c r="A886" s="4"/>
      <c r="B886" s="4"/>
    </row>
    <row r="887" spans="1:2" ht="15.75" customHeight="1">
      <c r="A887" s="4"/>
      <c r="B887" s="4"/>
    </row>
    <row r="888" spans="1:2" ht="15.75" customHeight="1">
      <c r="A888" s="4"/>
      <c r="B888" s="4"/>
    </row>
    <row r="889" spans="1:2" ht="15.75" customHeight="1">
      <c r="A889" s="4"/>
      <c r="B889" s="4"/>
    </row>
    <row r="890" spans="1:2" ht="15.75" customHeight="1">
      <c r="A890" s="4"/>
      <c r="B890" s="4"/>
    </row>
    <row r="891" spans="1:2" ht="15.75" customHeight="1">
      <c r="A891" s="4"/>
      <c r="B891" s="4"/>
    </row>
    <row r="892" spans="1:2" ht="15.75" customHeight="1">
      <c r="A892" s="4"/>
      <c r="B892" s="4"/>
    </row>
    <row r="893" spans="1:2" ht="15.75" customHeight="1">
      <c r="A893" s="4"/>
      <c r="B893" s="4"/>
    </row>
    <row r="894" spans="1:2" ht="15.75" customHeight="1">
      <c r="A894" s="4"/>
      <c r="B894" s="4"/>
    </row>
    <row r="895" spans="1:2" ht="15.75" customHeight="1">
      <c r="A895" s="4"/>
      <c r="B895" s="4"/>
    </row>
    <row r="896" spans="1:2" ht="15.75" customHeight="1">
      <c r="A896" s="4"/>
      <c r="B896" s="4"/>
    </row>
    <row r="897" spans="1:2" ht="15.75" customHeight="1">
      <c r="A897" s="4"/>
      <c r="B897" s="4"/>
    </row>
    <row r="898" spans="1:2" ht="15.75" customHeight="1">
      <c r="A898" s="4"/>
      <c r="B898" s="4"/>
    </row>
    <row r="899" spans="1:2" ht="15.75" customHeight="1">
      <c r="A899" s="4"/>
      <c r="B899" s="4"/>
    </row>
    <row r="900" spans="1:2" ht="15.75" customHeight="1">
      <c r="A900" s="4"/>
      <c r="B900" s="4"/>
    </row>
    <row r="901" spans="1:2" ht="15.75" customHeight="1">
      <c r="A901" s="4"/>
      <c r="B901" s="4"/>
    </row>
    <row r="902" spans="1:2" ht="15.75" customHeight="1">
      <c r="A902" s="4"/>
      <c r="B902" s="4"/>
    </row>
    <row r="903" spans="1:2" ht="15.75" customHeight="1">
      <c r="A903" s="4"/>
      <c r="B903" s="4"/>
    </row>
    <row r="904" spans="1:2" ht="15.75" customHeight="1">
      <c r="A904" s="4"/>
      <c r="B904" s="4"/>
    </row>
    <row r="905" spans="1:2" ht="15.75" customHeight="1">
      <c r="A905" s="4"/>
      <c r="B905" s="4"/>
    </row>
    <row r="906" spans="1:2" ht="15.75" customHeight="1">
      <c r="A906" s="4"/>
      <c r="B906" s="4"/>
    </row>
    <row r="907" spans="1:2" ht="15.75" customHeight="1">
      <c r="A907" s="4"/>
      <c r="B907" s="4"/>
    </row>
    <row r="908" spans="1:2" ht="15.75" customHeight="1">
      <c r="A908" s="4"/>
      <c r="B908" s="4"/>
    </row>
    <row r="909" spans="1:2" ht="15.75" customHeight="1">
      <c r="A909" s="4"/>
      <c r="B909" s="4"/>
    </row>
    <row r="910" spans="1:2" ht="15.75" customHeight="1">
      <c r="A910" s="4"/>
      <c r="B910" s="4"/>
    </row>
    <row r="911" spans="1:2" ht="15.75" customHeight="1">
      <c r="A911" s="4"/>
      <c r="B911" s="4"/>
    </row>
    <row r="912" spans="1:2" ht="15.75" customHeight="1">
      <c r="A912" s="4"/>
      <c r="B912" s="4"/>
    </row>
    <row r="913" spans="1:2" ht="15.75" customHeight="1">
      <c r="A913" s="4"/>
      <c r="B913" s="4"/>
    </row>
    <row r="914" spans="1:2" ht="15.75" customHeight="1">
      <c r="A914" s="4"/>
      <c r="B914" s="4"/>
    </row>
    <row r="915" spans="1:2" ht="15.75" customHeight="1">
      <c r="A915" s="4"/>
      <c r="B915" s="4"/>
    </row>
    <row r="916" spans="1:2" ht="15.75" customHeight="1">
      <c r="A916" s="4"/>
      <c r="B916" s="4"/>
    </row>
    <row r="917" spans="1:2" ht="15.75" customHeight="1">
      <c r="A917" s="4"/>
      <c r="B917" s="4"/>
    </row>
    <row r="918" spans="1:2" ht="15.75" customHeight="1">
      <c r="A918" s="4"/>
      <c r="B918" s="4"/>
    </row>
    <row r="919" spans="1:2" ht="15.75" customHeight="1">
      <c r="A919" s="4"/>
      <c r="B919" s="4"/>
    </row>
    <row r="920" spans="1:2" ht="15.75" customHeight="1">
      <c r="A920" s="4"/>
      <c r="B920" s="4"/>
    </row>
    <row r="921" spans="1:2" ht="15.75" customHeight="1">
      <c r="A921" s="4"/>
      <c r="B921" s="4"/>
    </row>
    <row r="922" spans="1:2" ht="15.75" customHeight="1">
      <c r="A922" s="4"/>
      <c r="B922" s="4"/>
    </row>
    <row r="923" spans="1:2" ht="15.75" customHeight="1">
      <c r="A923" s="4"/>
      <c r="B923" s="4"/>
    </row>
    <row r="924" spans="1:2" ht="15.75" customHeight="1">
      <c r="A924" s="4"/>
      <c r="B924" s="4"/>
    </row>
    <row r="925" spans="1:2" ht="15.75" customHeight="1">
      <c r="A925" s="4"/>
      <c r="B925" s="4"/>
    </row>
    <row r="926" spans="1:2" ht="15.75" customHeight="1">
      <c r="A926" s="4"/>
      <c r="B926" s="4"/>
    </row>
    <row r="927" spans="1:2" ht="15.75" customHeight="1">
      <c r="A927" s="4"/>
      <c r="B927" s="4"/>
    </row>
    <row r="928" spans="1:2" ht="15.75" customHeight="1">
      <c r="A928" s="4"/>
      <c r="B928" s="4"/>
    </row>
    <row r="929" spans="1:2" ht="15.75" customHeight="1">
      <c r="A929" s="4"/>
      <c r="B929" s="4"/>
    </row>
    <row r="930" spans="1:2" ht="15.75" customHeight="1">
      <c r="A930" s="4"/>
      <c r="B930" s="4"/>
    </row>
    <row r="931" spans="1:2" ht="15.75" customHeight="1">
      <c r="A931" s="4"/>
      <c r="B931" s="4"/>
    </row>
    <row r="932" spans="1:2" ht="15.75" customHeight="1">
      <c r="A932" s="4"/>
      <c r="B932" s="4"/>
    </row>
    <row r="933" spans="1:2" ht="15.75" customHeight="1">
      <c r="A933" s="4"/>
      <c r="B933" s="4"/>
    </row>
    <row r="934" spans="1:2" ht="15.75" customHeight="1">
      <c r="A934" s="4"/>
      <c r="B934" s="4"/>
    </row>
    <row r="935" spans="1:2" ht="15.75" customHeight="1">
      <c r="A935" s="4"/>
      <c r="B935" s="4"/>
    </row>
    <row r="936" spans="1:2" ht="15.75" customHeight="1">
      <c r="A936" s="4"/>
      <c r="B936" s="4"/>
    </row>
    <row r="937" spans="1:2" ht="15.75" customHeight="1">
      <c r="A937" s="4"/>
      <c r="B937" s="4"/>
    </row>
    <row r="938" spans="1:2" ht="15.75" customHeight="1">
      <c r="A938" s="4"/>
      <c r="B938" s="4"/>
    </row>
    <row r="939" spans="1:2" ht="15.75" customHeight="1">
      <c r="A939" s="4"/>
      <c r="B939" s="4"/>
    </row>
    <row r="940" spans="1:2" ht="15.75" customHeight="1">
      <c r="A940" s="4"/>
      <c r="B940" s="4"/>
    </row>
    <row r="941" spans="1:2" ht="15.75" customHeight="1">
      <c r="A941" s="4"/>
      <c r="B941" s="4"/>
    </row>
    <row r="942" spans="1:2" ht="15.75" customHeight="1">
      <c r="A942" s="4"/>
      <c r="B942" s="4"/>
    </row>
    <row r="943" spans="1:2" ht="15.75" customHeight="1">
      <c r="A943" s="4"/>
      <c r="B943" s="4"/>
    </row>
    <row r="944" spans="1:2" ht="15.75" customHeight="1">
      <c r="A944" s="4"/>
      <c r="B944" s="4"/>
    </row>
    <row r="945" spans="1:2" ht="15.75" customHeight="1">
      <c r="A945" s="4"/>
      <c r="B945" s="4"/>
    </row>
    <row r="946" spans="1:2" ht="15.75" customHeight="1">
      <c r="A946" s="4"/>
      <c r="B946" s="4"/>
    </row>
    <row r="947" spans="1:2" ht="15.75" customHeight="1">
      <c r="A947" s="4"/>
      <c r="B947" s="4"/>
    </row>
    <row r="948" spans="1:2" ht="15.75" customHeight="1">
      <c r="A948" s="4"/>
      <c r="B948" s="4"/>
    </row>
    <row r="949" spans="1:2" ht="15.75" customHeight="1">
      <c r="A949" s="4"/>
      <c r="B949" s="4"/>
    </row>
    <row r="950" spans="1:2" ht="15.75" customHeight="1">
      <c r="A950" s="4"/>
      <c r="B950" s="4"/>
    </row>
    <row r="951" spans="1:2" ht="15.75" customHeight="1">
      <c r="A951" s="4"/>
      <c r="B951" s="4"/>
    </row>
    <row r="952" spans="1:2" ht="15.75" customHeight="1">
      <c r="A952" s="4"/>
      <c r="B952" s="4"/>
    </row>
    <row r="953" spans="1:2" ht="15.75" customHeight="1">
      <c r="A953" s="4"/>
      <c r="B953" s="4"/>
    </row>
    <row r="954" spans="1:2" ht="15.75" customHeight="1">
      <c r="A954" s="4"/>
      <c r="B954" s="4"/>
    </row>
    <row r="955" spans="1:2" ht="15.75" customHeight="1">
      <c r="A955" s="4"/>
      <c r="B955" s="4"/>
    </row>
    <row r="956" spans="1:2" ht="15.75" customHeight="1">
      <c r="A956" s="4"/>
      <c r="B956" s="4"/>
    </row>
    <row r="957" spans="1:2" ht="15.75" customHeight="1">
      <c r="A957" s="4"/>
      <c r="B957" s="4"/>
    </row>
    <row r="958" spans="1:2" ht="15.75" customHeight="1">
      <c r="A958" s="4"/>
      <c r="B958" s="4"/>
    </row>
    <row r="959" spans="1:2" ht="15.75" customHeight="1">
      <c r="A959" s="4"/>
      <c r="B959" s="4"/>
    </row>
    <row r="960" spans="1:2" ht="15.75" customHeight="1">
      <c r="A960" s="4"/>
      <c r="B960" s="4"/>
    </row>
    <row r="961" spans="1:2" ht="15.75" customHeight="1">
      <c r="A961" s="4"/>
      <c r="B961" s="4"/>
    </row>
    <row r="962" spans="1:2" ht="15.75" customHeight="1">
      <c r="A962" s="4"/>
      <c r="B962" s="4"/>
    </row>
    <row r="963" spans="1:2" ht="15.75" customHeight="1">
      <c r="A963" s="4"/>
      <c r="B963" s="4"/>
    </row>
    <row r="964" spans="1:2" ht="15.75" customHeight="1">
      <c r="A964" s="4"/>
      <c r="B964" s="4"/>
    </row>
    <row r="965" spans="1:2" ht="15.75" customHeight="1">
      <c r="A965" s="4"/>
      <c r="B965" s="4"/>
    </row>
    <row r="966" spans="1:2" ht="15.75" customHeight="1">
      <c r="A966" s="4"/>
      <c r="B966" s="4"/>
    </row>
    <row r="967" spans="1:2" ht="15.75" customHeight="1">
      <c r="A967" s="4"/>
      <c r="B967" s="4"/>
    </row>
    <row r="968" spans="1:2" ht="15.75" customHeight="1">
      <c r="A968" s="4"/>
      <c r="B968" s="4"/>
    </row>
    <row r="969" spans="1:2" ht="15.75" customHeight="1">
      <c r="A969" s="4"/>
      <c r="B969" s="4"/>
    </row>
    <row r="970" spans="1:2" ht="15.75" customHeight="1">
      <c r="A970" s="4"/>
      <c r="B970" s="4"/>
    </row>
    <row r="971" spans="1:2" ht="15.75" customHeight="1">
      <c r="A971" s="4"/>
      <c r="B971" s="4"/>
    </row>
    <row r="972" spans="1:2" ht="15.75" customHeight="1">
      <c r="A972" s="4"/>
      <c r="B972" s="4"/>
    </row>
    <row r="973" spans="1:2" ht="15.75" customHeight="1">
      <c r="A973" s="4"/>
      <c r="B973" s="4"/>
    </row>
    <row r="974" spans="1:2" ht="15.75" customHeight="1">
      <c r="A974" s="4"/>
      <c r="B974" s="4"/>
    </row>
    <row r="975" spans="1:2" ht="15.75" customHeight="1">
      <c r="A975" s="4"/>
      <c r="B975" s="4"/>
    </row>
    <row r="976" spans="1:2" ht="15.75" customHeight="1">
      <c r="A976" s="4"/>
      <c r="B976" s="4"/>
    </row>
    <row r="977" spans="1:2" ht="15.75" customHeight="1">
      <c r="A977" s="4"/>
      <c r="B977" s="4"/>
    </row>
    <row r="978" spans="1:2" ht="15.75" customHeight="1">
      <c r="A978" s="4"/>
      <c r="B978" s="4"/>
    </row>
    <row r="979" spans="1:2" ht="15.75" customHeight="1">
      <c r="A979" s="4"/>
      <c r="B979" s="4"/>
    </row>
    <row r="980" spans="1:2" ht="15.75" customHeight="1">
      <c r="A980" s="4"/>
      <c r="B980" s="4"/>
    </row>
    <row r="981" spans="1:2" ht="15.75" customHeight="1">
      <c r="A981" s="4"/>
      <c r="B981" s="4"/>
    </row>
    <row r="982" spans="1:2" ht="15.75" customHeight="1">
      <c r="A982" s="4"/>
      <c r="B982" s="4"/>
    </row>
    <row r="983" spans="1:2" ht="15.75" customHeight="1">
      <c r="A983" s="4"/>
      <c r="B983" s="4"/>
    </row>
    <row r="984" spans="1:2" ht="15.75" customHeight="1">
      <c r="A984" s="4"/>
      <c r="B984" s="4"/>
    </row>
    <row r="985" spans="1:2" ht="15.75" customHeight="1">
      <c r="A985" s="4"/>
      <c r="B985" s="4"/>
    </row>
    <row r="986" spans="1:2" ht="15.75" customHeight="1">
      <c r="A986" s="4"/>
      <c r="B986" s="4"/>
    </row>
    <row r="987" spans="1:2" ht="15.75" customHeight="1">
      <c r="A987" s="4"/>
      <c r="B987" s="4"/>
    </row>
    <row r="988" spans="1:2" ht="15.75" customHeight="1">
      <c r="A988" s="4"/>
      <c r="B988" s="4"/>
    </row>
    <row r="989" spans="1:2" ht="15.75" customHeight="1">
      <c r="A989" s="4"/>
      <c r="B989" s="4"/>
    </row>
    <row r="990" spans="1:2" ht="15.75" customHeight="1">
      <c r="A990" s="4"/>
      <c r="B990" s="4"/>
    </row>
    <row r="991" spans="1:2" ht="15.75" customHeight="1">
      <c r="A991" s="4"/>
      <c r="B991" s="4"/>
    </row>
    <row r="992" spans="1:2" ht="15.75" customHeight="1">
      <c r="A992" s="4"/>
      <c r="B992" s="4"/>
    </row>
    <row r="993" spans="1:2" ht="15.75" customHeight="1">
      <c r="A993" s="4"/>
      <c r="B993" s="4"/>
    </row>
    <row r="994" spans="1:2" ht="15.75" customHeight="1">
      <c r="A994" s="4"/>
      <c r="B994" s="4"/>
    </row>
    <row r="995" spans="1:2" ht="15.75" customHeight="1">
      <c r="A995" s="4"/>
      <c r="B995" s="4"/>
    </row>
    <row r="996" spans="1:2" ht="15.75" customHeight="1">
      <c r="A996" s="4"/>
      <c r="B996" s="4"/>
    </row>
    <row r="997" spans="1:2" ht="15.75" customHeight="1">
      <c r="A997" s="4"/>
      <c r="B997" s="4"/>
    </row>
    <row r="998" spans="1:2" ht="15.75" customHeight="1">
      <c r="A998" s="4"/>
      <c r="B998" s="4"/>
    </row>
    <row r="999" spans="1:2" ht="15.75" customHeight="1">
      <c r="A999" s="4"/>
      <c r="B999" s="4"/>
    </row>
    <row r="1000" spans="1:2" ht="15.75" customHeight="1">
      <c r="A1000" s="4"/>
      <c r="B1000" s="4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P21"/>
  <sheetViews>
    <sheetView showGridLines="0" workbookViewId="0">
      <pane xSplit="2" topLeftCell="U1" activePane="topRight" state="frozen"/>
      <selection pane="topRight" activeCell="U19" sqref="U19"/>
    </sheetView>
  </sheetViews>
  <sheetFormatPr defaultColWidth="14.42578125" defaultRowHeight="15" customHeight="1"/>
  <cols>
    <col min="1" max="1" width="23.5703125" customWidth="1"/>
    <col min="2" max="2" width="28.42578125" customWidth="1"/>
    <col min="3" max="3" width="6" customWidth="1"/>
  </cols>
  <sheetData>
    <row r="1" spans="1:42" ht="15" customHeight="1">
      <c r="A1" s="1" t="s">
        <v>0</v>
      </c>
    </row>
    <row r="2" spans="1:42" ht="15" customHeight="1">
      <c r="A2" s="2" t="s">
        <v>66</v>
      </c>
    </row>
    <row r="3" spans="1:42" ht="14.45">
      <c r="A3" s="3" t="s">
        <v>2</v>
      </c>
    </row>
    <row r="6" spans="1:42" ht="14.45">
      <c r="A6" s="9" t="s">
        <v>3</v>
      </c>
      <c r="B6" s="9" t="s">
        <v>60</v>
      </c>
      <c r="C6" s="14"/>
      <c r="D6" s="15">
        <v>45383</v>
      </c>
      <c r="E6" s="15">
        <v>45413</v>
      </c>
      <c r="F6" s="15">
        <v>45444</v>
      </c>
      <c r="G6" s="15">
        <v>45474</v>
      </c>
      <c r="H6" s="15">
        <v>45505</v>
      </c>
      <c r="I6" s="15">
        <v>45536</v>
      </c>
      <c r="J6" s="15">
        <v>45566</v>
      </c>
      <c r="K6" s="15">
        <v>45597</v>
      </c>
      <c r="L6" s="15">
        <v>45627</v>
      </c>
      <c r="M6" s="15">
        <v>45658</v>
      </c>
      <c r="N6" s="15">
        <v>45689</v>
      </c>
      <c r="O6" s="15">
        <v>45717</v>
      </c>
      <c r="P6" s="15">
        <v>45748</v>
      </c>
      <c r="Q6" s="15">
        <v>45778</v>
      </c>
      <c r="R6" s="15">
        <v>45809</v>
      </c>
      <c r="S6" s="15">
        <v>45839</v>
      </c>
      <c r="T6" s="15">
        <v>45870</v>
      </c>
      <c r="U6" s="15">
        <v>45901</v>
      </c>
      <c r="V6" s="15">
        <v>45931</v>
      </c>
      <c r="W6" s="15">
        <v>45962</v>
      </c>
      <c r="X6" s="15">
        <v>45992</v>
      </c>
      <c r="Y6" s="15">
        <v>46023</v>
      </c>
      <c r="Z6" s="15">
        <v>46054</v>
      </c>
      <c r="AA6" s="15">
        <v>46082</v>
      </c>
      <c r="AB6" s="15">
        <v>46113</v>
      </c>
      <c r="AC6" s="15">
        <v>46143</v>
      </c>
      <c r="AD6" s="15">
        <v>46174</v>
      </c>
      <c r="AE6" s="15">
        <v>46204</v>
      </c>
      <c r="AF6" s="15">
        <v>46235</v>
      </c>
      <c r="AG6" s="15">
        <v>46266</v>
      </c>
      <c r="AH6" s="15">
        <v>46296</v>
      </c>
      <c r="AI6" s="15">
        <v>46327</v>
      </c>
      <c r="AJ6" s="15">
        <v>46357</v>
      </c>
      <c r="AK6" s="15">
        <v>46388</v>
      </c>
      <c r="AL6" s="15">
        <v>46419</v>
      </c>
      <c r="AM6" s="15">
        <v>46447</v>
      </c>
      <c r="AN6" s="4"/>
      <c r="AO6" s="15" t="s">
        <v>7</v>
      </c>
      <c r="AP6" s="15" t="s">
        <v>8</v>
      </c>
    </row>
    <row r="7" spans="1:42" ht="14.45">
      <c r="A7" s="5" t="s">
        <v>36</v>
      </c>
      <c r="B7" s="4"/>
    </row>
    <row r="8" spans="1:42" ht="14.45">
      <c r="A8" s="4" t="s">
        <v>37</v>
      </c>
      <c r="B8" s="4" t="s">
        <v>65</v>
      </c>
      <c r="D8" s="73">
        <f>CAPEX!F32</f>
        <v>943055.5555555555</v>
      </c>
      <c r="E8" s="73">
        <f>CAPEX!G32</f>
        <v>1382777.7777777778</v>
      </c>
      <c r="F8" s="73">
        <f>CAPEX!H32</f>
        <v>1809166.6666666667</v>
      </c>
      <c r="G8" s="73">
        <f>CAPEX!I32</f>
        <v>2416666.6666666665</v>
      </c>
      <c r="H8" s="73">
        <f>CAPEX!J32</f>
        <v>2810833.3333333335</v>
      </c>
      <c r="I8" s="73">
        <f>CAPEX!K32</f>
        <v>3191666.6666666665</v>
      </c>
      <c r="J8" s="73">
        <f>CAPEX!L32</f>
        <v>3559166.6666666665</v>
      </c>
      <c r="K8" s="73">
        <f>CAPEX!M32</f>
        <v>4409166.666666667</v>
      </c>
      <c r="L8" s="73">
        <f>CAPEX!N32</f>
        <v>5027500</v>
      </c>
      <c r="M8" s="73">
        <f>CAPEX!O32</f>
        <v>5624166.666666667</v>
      </c>
      <c r="N8" s="73">
        <f>CAPEX!P32</f>
        <v>6199166.666666666</v>
      </c>
      <c r="O8" s="73">
        <f>CAPEX!Q32</f>
        <v>6752500</v>
      </c>
      <c r="P8" s="73">
        <f>CAPEX!R32</f>
        <v>7360000</v>
      </c>
      <c r="Q8" s="73">
        <f>CAPEX!S32</f>
        <v>7943666.666666666</v>
      </c>
      <c r="R8" s="73">
        <f>CAPEX!T32</f>
        <v>8503500</v>
      </c>
      <c r="S8" s="73">
        <f>CAPEX!U32</f>
        <v>9039500</v>
      </c>
      <c r="T8" s="73">
        <f>CAPEX!V32</f>
        <v>9551666.666666666</v>
      </c>
      <c r="U8" s="73">
        <f>CAPEX!W32</f>
        <v>10040000</v>
      </c>
      <c r="V8" s="73">
        <f>CAPEX!X32</f>
        <v>10504500</v>
      </c>
      <c r="W8" s="73">
        <f>CAPEX!Y32</f>
        <v>10945166.666666666</v>
      </c>
      <c r="X8" s="73">
        <f>CAPEX!Z32</f>
        <v>11362000</v>
      </c>
      <c r="Y8" s="73">
        <f>CAPEX!AA32</f>
        <v>11755000</v>
      </c>
      <c r="Z8" s="73">
        <f>CAPEX!AB32</f>
        <v>12124166.666666668</v>
      </c>
      <c r="AA8" s="73">
        <f>CAPEX!AC32</f>
        <v>12469500</v>
      </c>
      <c r="AB8" s="73">
        <f>CAPEX!AD32</f>
        <v>12874416.666666668</v>
      </c>
      <c r="AC8" s="73">
        <f>CAPEX!AE32</f>
        <v>13253116.666666668</v>
      </c>
      <c r="AD8" s="73">
        <f>CAPEX!AF32</f>
        <v>13605600</v>
      </c>
      <c r="AE8" s="73">
        <f>CAPEX!AG32</f>
        <v>13931866.666666668</v>
      </c>
      <c r="AF8" s="73">
        <f>CAPEX!AH32</f>
        <v>14231916.666666668</v>
      </c>
      <c r="AG8" s="73">
        <f>CAPEX!AI32</f>
        <v>14505750.000000002</v>
      </c>
      <c r="AH8" s="73">
        <f>CAPEX!AJ32</f>
        <v>14753366.666666668</v>
      </c>
      <c r="AI8" s="73">
        <f>CAPEX!AK32</f>
        <v>14974766.666666668</v>
      </c>
      <c r="AJ8" s="73">
        <f>CAPEX!AL32</f>
        <v>15169950.000000002</v>
      </c>
      <c r="AK8" s="73">
        <f>CAPEX!AM32</f>
        <v>15338916.666666668</v>
      </c>
      <c r="AL8" s="73">
        <f>CAPEX!AN32</f>
        <v>15481666.666666668</v>
      </c>
      <c r="AM8" s="73">
        <f>CAPEX!AO32</f>
        <v>15598200.000000002</v>
      </c>
      <c r="AO8" s="73">
        <f>CAPEX!AQ32</f>
        <v>8772106.6666666679</v>
      </c>
      <c r="AP8" s="73">
        <f>CAPEX!AR32</f>
        <v>13522037.333333332</v>
      </c>
    </row>
    <row r="9" spans="1:42" ht="14.45">
      <c r="A9" s="4" t="s">
        <v>38</v>
      </c>
      <c r="B9" s="4" t="s">
        <v>67</v>
      </c>
      <c r="D9" s="74">
        <f>'Working Capital'!H20</f>
        <v>1500000</v>
      </c>
      <c r="E9" s="74">
        <f>'Working Capital'!I20</f>
        <v>1549000</v>
      </c>
      <c r="F9" s="74">
        <f>'Working Capital'!J20</f>
        <v>1584000</v>
      </c>
      <c r="G9" s="74">
        <f>'Working Capital'!K20</f>
        <v>1822500</v>
      </c>
      <c r="H9" s="74">
        <f>'Working Capital'!L20</f>
        <v>3364500</v>
      </c>
      <c r="I9" s="74">
        <f>'Working Capital'!M20</f>
        <v>1910000</v>
      </c>
      <c r="J9" s="74">
        <f>'Working Capital'!N20</f>
        <v>3666000</v>
      </c>
      <c r="K9" s="74">
        <f>'Working Capital'!O20</f>
        <v>3737000</v>
      </c>
      <c r="L9" s="74">
        <f>'Working Capital'!P20</f>
        <v>2308600</v>
      </c>
      <c r="M9" s="74">
        <f>'Working Capital'!Q20</f>
        <v>4098020</v>
      </c>
      <c r="N9" s="74">
        <f>'Working Capital'!R20</f>
        <v>4194824</v>
      </c>
      <c r="O9" s="74">
        <f>'Working Capital'!S20</f>
        <v>4299088.8</v>
      </c>
      <c r="P9" s="74">
        <f>'Working Capital'!T20</f>
        <v>4506501.8880000003</v>
      </c>
      <c r="Q9" s="74">
        <f>'Working Capital'!U20</f>
        <v>6236357.2655999996</v>
      </c>
      <c r="R9" s="74">
        <f>'Working Capital'!V20</f>
        <v>3256748.7187199998</v>
      </c>
      <c r="S9" s="74">
        <f>'Working Capital'!W20</f>
        <v>5246218.4624640001</v>
      </c>
      <c r="T9" s="74">
        <f>'Working Capital'!X20</f>
        <v>5477617.1549567999</v>
      </c>
      <c r="U9" s="74">
        <f>'Working Capital'!Y20</f>
        <v>5732510.5859481599</v>
      </c>
      <c r="V9" s="74">
        <f>'Working Capital'!Z20</f>
        <v>6246912.7031377917</v>
      </c>
      <c r="W9" s="74">
        <f>'Working Capital'!AA20</f>
        <v>6597495.2437653504</v>
      </c>
      <c r="X9" s="74">
        <f>'Working Capital'!AB20</f>
        <v>8558649.2925184201</v>
      </c>
      <c r="Y9" s="74">
        <f>'Working Capital'!AC20</f>
        <v>9444974.1510221045</v>
      </c>
      <c r="Z9" s="74">
        <f>'Working Capital'!AD20</f>
        <v>8395018.9812265262</v>
      </c>
      <c r="AA9" s="74">
        <f>'Working Capital'!AE20</f>
        <v>10550827.777471831</v>
      </c>
      <c r="AB9" s="74">
        <f>'Working Capital'!AF20</f>
        <v>11366762.749614507</v>
      </c>
      <c r="AC9" s="74">
        <f>'Working Capital'!AG20</f>
        <v>10543192.799537407</v>
      </c>
      <c r="AD9" s="74">
        <f>'Working Capital'!AH20</f>
        <v>13131418.85944489</v>
      </c>
      <c r="AE9" s="74">
        <f>'Working Capital'!AI20</f>
        <v>14632050.131333867</v>
      </c>
      <c r="AF9" s="74">
        <f>'Working Capital'!AJ20</f>
        <v>14234422.657600641</v>
      </c>
      <c r="AG9" s="74">
        <f>'Working Capital'!AK20</f>
        <v>17339181.93912077</v>
      </c>
      <c r="AH9" s="74">
        <f>'Working Capital'!AL20</f>
        <v>19200565.576944921</v>
      </c>
      <c r="AI9" s="74">
        <f>'Working Capital'!AM20</f>
        <v>21092450.942333903</v>
      </c>
      <c r="AJ9" s="74">
        <f>'Working Capital'!AN20</f>
        <v>21600918.380800687</v>
      </c>
      <c r="AK9" s="74">
        <f>'Working Capital'!AO20</f>
        <v>26318112.306960825</v>
      </c>
      <c r="AL9" s="74">
        <f>'Working Capital'!AP20</f>
        <v>29182584.518352993</v>
      </c>
      <c r="AM9" s="74">
        <f>'Working Capital'!AQ20</f>
        <v>28298151.172023591</v>
      </c>
      <c r="AO9" s="74">
        <f>'Working Capital'!AS20</f>
        <v>191126635.91971558</v>
      </c>
      <c r="AP9" s="74">
        <f>'Working Capital'!AT20</f>
        <v>459738762.58368927</v>
      </c>
    </row>
    <row r="10" spans="1:42" ht="14.45">
      <c r="A10" s="4" t="s">
        <v>39</v>
      </c>
      <c r="B10" s="4" t="s">
        <v>68</v>
      </c>
      <c r="D10" s="74">
        <f>'Detailed CFS'!D28</f>
        <v>-970015</v>
      </c>
      <c r="E10" s="74">
        <f>'Detailed CFS'!E28</f>
        <v>-2317893.4899999998</v>
      </c>
      <c r="F10" s="74">
        <f>'Detailed CFS'!F28</f>
        <v>-3524516.28</v>
      </c>
      <c r="G10" s="74">
        <f>'Detailed CFS'!G28</f>
        <v>-4913835.7050000001</v>
      </c>
      <c r="H10" s="74">
        <f>'Detailed CFS'!H28</f>
        <v>-6903559.2249999996</v>
      </c>
      <c r="I10" s="74">
        <f>'Detailed CFS'!I28</f>
        <v>-7580826.2999999998</v>
      </c>
      <c r="J10" s="74">
        <f>'Detailed CFS'!J28</f>
        <v>-9947506.793333333</v>
      </c>
      <c r="K10" s="74">
        <f>'Detailed CFS'!K28</f>
        <v>-11606323.796666667</v>
      </c>
      <c r="L10" s="74">
        <f>'Detailed CFS'!L28</f>
        <v>-13454208.899333334</v>
      </c>
      <c r="M10" s="74">
        <f>'Detailed CFS'!M28</f>
        <v>-16458944.2762</v>
      </c>
      <c r="N10" s="74">
        <f>'Detailed CFS'!N28</f>
        <v>-18149573.902106669</v>
      </c>
      <c r="O10" s="74">
        <f>'Detailed CFS'!O28</f>
        <v>-19693146.232861336</v>
      </c>
      <c r="P10" s="74">
        <f>'Detailed CFS'!P28</f>
        <v>-21264134.587386884</v>
      </c>
      <c r="Q10" s="74">
        <f>'Detailed CFS'!Q28</f>
        <v>-22156413.153237939</v>
      </c>
      <c r="R10" s="74">
        <f>'Detailed CFS'!R28</f>
        <v>-21590270.063709207</v>
      </c>
      <c r="S10" s="74">
        <f>'Detailed CFS'!S28</f>
        <v>-23819955.073474728</v>
      </c>
      <c r="T10" s="74">
        <f>'Detailed CFS'!T28</f>
        <v>-24250770.992743354</v>
      </c>
      <c r="U10" s="74">
        <f>'Detailed CFS'!U28</f>
        <v>-24454702.669815704</v>
      </c>
      <c r="V10" s="74">
        <f>'Detailed CFS'!V28</f>
        <v>-24303451.384802524</v>
      </c>
      <c r="W10" s="74">
        <f>'Detailed CFS'!W28</f>
        <v>-24189688.219786707</v>
      </c>
      <c r="X10" s="74">
        <f>'Detailed CFS'!X28</f>
        <v>-23766968.018317726</v>
      </c>
      <c r="Y10" s="74">
        <f>'Detailed CFS'!Y28</f>
        <v>-21907306.727754951</v>
      </c>
      <c r="Z10" s="74">
        <f>'Detailed CFS'!Z28</f>
        <v>-19938467.811829619</v>
      </c>
      <c r="AA10" s="74">
        <f>'Detailed CFS'!AA28</f>
        <v>-21655280.907407869</v>
      </c>
      <c r="AB10" s="74">
        <f>'Detailed CFS'!AB28</f>
        <v>-19359281.152579557</v>
      </c>
      <c r="AC10" s="74">
        <f>'Detailed CFS'!AC28</f>
        <v>-17067318.435825735</v>
      </c>
      <c r="AD10" s="74">
        <f>'Detailed CFS'!AD28</f>
        <v>-15543140.468121152</v>
      </c>
      <c r="AE10" s="74">
        <f>'Detailed CFS'!AE28</f>
        <v>-12259541.377375651</v>
      </c>
      <c r="AF10" s="74">
        <f>'Detailed CFS'!AF28</f>
        <v>-8209525.8731310479</v>
      </c>
      <c r="AG10" s="74">
        <f>'Detailed CFS'!AG28</f>
        <v>-4743692.9550600257</v>
      </c>
      <c r="AH10" s="74">
        <f>'Detailed CFS'!AH28</f>
        <v>724991.0148901986</v>
      </c>
      <c r="AI10" s="74">
        <f>'Detailed CFS'!AI28</f>
        <v>7005882.9324704725</v>
      </c>
      <c r="AJ10" s="74">
        <f>'Detailed CFS'!AJ28</f>
        <v>14343561.356406793</v>
      </c>
      <c r="AK10" s="74">
        <f>'Detailed CFS'!AK28</f>
        <v>20997635.22989038</v>
      </c>
      <c r="AL10" s="74">
        <f>'Detailed CFS'!AL28</f>
        <v>30855237.121285684</v>
      </c>
      <c r="AM10" s="74">
        <f>'Detailed CFS'!AM28</f>
        <v>23317681.321899824</v>
      </c>
      <c r="AO10" s="74">
        <f>'Detailed CFS'!AO28</f>
        <v>27878378.016704328</v>
      </c>
      <c r="AP10" s="74">
        <f>'Detailed CFS'!AP28</f>
        <v>18613472.255313165</v>
      </c>
    </row>
    <row r="11" spans="1:42" ht="14.45">
      <c r="A11" s="4"/>
      <c r="B11" s="4"/>
    </row>
    <row r="12" spans="1:42" ht="14.45">
      <c r="A12" s="5" t="s">
        <v>40</v>
      </c>
      <c r="B12" s="5"/>
      <c r="C12" s="11"/>
      <c r="D12" s="10">
        <f t="shared" ref="D12:AM12" si="0">SUM(D8:D10)</f>
        <v>1473040.5555555555</v>
      </c>
      <c r="E12" s="10">
        <f t="shared" si="0"/>
        <v>613884.28777777823</v>
      </c>
      <c r="F12" s="10">
        <f t="shared" si="0"/>
        <v>-131349.61333333282</v>
      </c>
      <c r="G12" s="10">
        <f t="shared" si="0"/>
        <v>-674669.03833333403</v>
      </c>
      <c r="H12" s="10">
        <f t="shared" si="0"/>
        <v>-728225.89166666567</v>
      </c>
      <c r="I12" s="10">
        <f t="shared" si="0"/>
        <v>-2479159.6333333338</v>
      </c>
      <c r="J12" s="10">
        <f t="shared" si="0"/>
        <v>-2722340.1266666669</v>
      </c>
      <c r="K12" s="10">
        <f t="shared" si="0"/>
        <v>-3460157.13</v>
      </c>
      <c r="L12" s="10">
        <f t="shared" si="0"/>
        <v>-6118108.8993333336</v>
      </c>
      <c r="M12" s="10">
        <f t="shared" si="0"/>
        <v>-6736757.6095333323</v>
      </c>
      <c r="N12" s="10">
        <f t="shared" si="0"/>
        <v>-7755583.2354400028</v>
      </c>
      <c r="O12" s="10">
        <f t="shared" si="0"/>
        <v>-8641557.4328613356</v>
      </c>
      <c r="P12" s="10">
        <f t="shared" si="0"/>
        <v>-9397632.6993868835</v>
      </c>
      <c r="Q12" s="10">
        <f t="shared" si="0"/>
        <v>-7976389.2209712733</v>
      </c>
      <c r="R12" s="10">
        <f t="shared" si="0"/>
        <v>-9830021.3449892066</v>
      </c>
      <c r="S12" s="10">
        <f t="shared" si="0"/>
        <v>-9534236.6110107265</v>
      </c>
      <c r="T12" s="10">
        <f t="shared" si="0"/>
        <v>-9221487.1711198874</v>
      </c>
      <c r="U12" s="10">
        <f t="shared" si="0"/>
        <v>-8682192.0838675443</v>
      </c>
      <c r="V12" s="10">
        <f t="shared" si="0"/>
        <v>-7552038.6816647314</v>
      </c>
      <c r="W12" s="10">
        <f t="shared" si="0"/>
        <v>-6647026.309354689</v>
      </c>
      <c r="X12" s="10">
        <f t="shared" si="0"/>
        <v>-3846318.7257993035</v>
      </c>
      <c r="Y12" s="10">
        <f t="shared" si="0"/>
        <v>-707332.57673284411</v>
      </c>
      <c r="Z12" s="10">
        <f t="shared" si="0"/>
        <v>580717.836063575</v>
      </c>
      <c r="AA12" s="10">
        <f t="shared" si="0"/>
        <v>1365046.8700639643</v>
      </c>
      <c r="AB12" s="10">
        <f t="shared" si="0"/>
        <v>4881898.2637016177</v>
      </c>
      <c r="AC12" s="10">
        <f t="shared" si="0"/>
        <v>6728991.0303783417</v>
      </c>
      <c r="AD12" s="10">
        <f t="shared" si="0"/>
        <v>11193878.391323738</v>
      </c>
      <c r="AE12" s="10">
        <f t="shared" si="0"/>
        <v>16304375.420624886</v>
      </c>
      <c r="AF12" s="10">
        <f t="shared" si="0"/>
        <v>20256813.451136261</v>
      </c>
      <c r="AG12" s="10">
        <f t="shared" si="0"/>
        <v>27101238.984060742</v>
      </c>
      <c r="AH12" s="10">
        <f t="shared" si="0"/>
        <v>34678923.25850179</v>
      </c>
      <c r="AI12" s="10">
        <f t="shared" si="0"/>
        <v>43073100.541471042</v>
      </c>
      <c r="AJ12" s="10">
        <f t="shared" si="0"/>
        <v>51114429.73720748</v>
      </c>
      <c r="AK12" s="10">
        <f t="shared" si="0"/>
        <v>62654664.203517869</v>
      </c>
      <c r="AL12" s="10">
        <f t="shared" si="0"/>
        <v>75519488.306305349</v>
      </c>
      <c r="AM12" s="10">
        <f t="shared" si="0"/>
        <v>67214032.493923426</v>
      </c>
      <c r="AN12" s="11"/>
      <c r="AO12" s="10">
        <f t="shared" ref="AO12:AP12" si="1">SUM(AO8:AO10)</f>
        <v>227777120.60308656</v>
      </c>
      <c r="AP12" s="10">
        <f t="shared" si="1"/>
        <v>491874272.17233574</v>
      </c>
    </row>
    <row r="13" spans="1:42" ht="14.45">
      <c r="A13" s="4"/>
      <c r="B13" s="4"/>
    </row>
    <row r="14" spans="1:42" ht="14.45">
      <c r="A14" s="5" t="s">
        <v>41</v>
      </c>
      <c r="B14" s="4"/>
    </row>
    <row r="15" spans="1:42" ht="14.45">
      <c r="A15" s="4" t="s">
        <v>42</v>
      </c>
      <c r="B15" s="4" t="s">
        <v>69</v>
      </c>
      <c r="D15" s="73">
        <f>'Detailed PnL'!D45</f>
        <v>-894822.4444444445</v>
      </c>
      <c r="E15" s="73">
        <f>D15+'Detailed PnL'!E45</f>
        <v>-1661722.6622222222</v>
      </c>
      <c r="F15" s="73">
        <f>E15+'Detailed PnL'!F45</f>
        <v>-2424650.8133333335</v>
      </c>
      <c r="G15" s="73">
        <f>F15+'Detailed PnL'!G45</f>
        <v>-4006858.9133333336</v>
      </c>
      <c r="H15" s="73">
        <f>G15+'Detailed PnL'!H45</f>
        <v>-4289973.8666666672</v>
      </c>
      <c r="I15" s="73">
        <f>H15+'Detailed PnL'!I45</f>
        <v>-6275803.4666666677</v>
      </c>
      <c r="J15" s="73">
        <f>I15+'Detailed PnL'!J45</f>
        <v>-7057119.7600000007</v>
      </c>
      <c r="K15" s="73">
        <f>J15+'Detailed PnL'!K45</f>
        <v>-8265019.1466666674</v>
      </c>
      <c r="L15" s="73">
        <f>K15+'Detailed PnL'!L45</f>
        <v>-10651403.296</v>
      </c>
      <c r="M15" s="73">
        <f>L15+'Detailed PnL'!M45</f>
        <v>-11745365.2872</v>
      </c>
      <c r="N15" s="73">
        <f>M15+'Detailed PnL'!N45</f>
        <v>-12713936.575306667</v>
      </c>
      <c r="O15" s="73">
        <f>N15+'Detailed PnL'!O45</f>
        <v>-13653589.522368001</v>
      </c>
      <c r="P15" s="73">
        <f>O15+'Detailed PnL'!P45</f>
        <v>-13938350.78966528</v>
      </c>
      <c r="Q15" s="73">
        <f>P15+'Detailed PnL'!Q45</f>
        <v>-12788570.829555349</v>
      </c>
      <c r="R15" s="73">
        <f>Q15+'Detailed PnL'!R45</f>
        <v>-14458402.611290099</v>
      </c>
      <c r="S15" s="73">
        <f>R15+'Detailed PnL'!S45</f>
        <v>-14353216.216571799</v>
      </c>
      <c r="T15" s="73">
        <f>S15+'Detailed PnL'!T45</f>
        <v>-14044978.678043172</v>
      </c>
      <c r="U15" s="73">
        <f>T15+'Detailed PnL'!U45</f>
        <v>-13405388.915675486</v>
      </c>
      <c r="V15" s="73">
        <f>U15+'Detailed PnL'!V45</f>
        <v>-12827122.244834263</v>
      </c>
      <c r="W15" s="73">
        <f>V15+'Detailed PnL'!W45</f>
        <v>-11963715.765158128</v>
      </c>
      <c r="X15" s="73">
        <f>W15+'Detailed PnL'!X45</f>
        <v>-9687212.2780134343</v>
      </c>
      <c r="Y15" s="73">
        <f>X15+'Detailed PnL'!Y45</f>
        <v>-7325383.8616398014</v>
      </c>
      <c r="Z15" s="73">
        <f>Y15+'Detailed PnL'!Z45</f>
        <v>-6103768.0533247748</v>
      </c>
      <c r="AA15" s="73">
        <f>Z15+'Detailed PnL'!AA45</f>
        <v>-5945867.4849520568</v>
      </c>
      <c r="AB15" s="73">
        <f>AA15+'Detailed PnL'!AB45</f>
        <v>-3248996.3372310703</v>
      </c>
      <c r="AC15" s="73">
        <f>AB15+'Detailed PnL'!AC45</f>
        <v>-1346092.4872658872</v>
      </c>
      <c r="AD15" s="73">
        <f>AC15+'Detailed PnL'!AD45</f>
        <v>2290004.9431256675</v>
      </c>
      <c r="AE15" s="73">
        <f>AD15+'Detailed PnL'!AE45</f>
        <v>6666283.1377621982</v>
      </c>
      <c r="AF15" s="73">
        <f>AE15+'Detailed PnL'!AF45</f>
        <v>10432197.103426035</v>
      </c>
      <c r="AG15" s="73">
        <f>AF15+'Detailed PnL'!AG45</f>
        <v>16174733.020545974</v>
      </c>
      <c r="AH15" s="73">
        <f>AG15+'Detailed PnL'!AH45</f>
        <v>22703260.523646563</v>
      </c>
      <c r="AI15" s="73">
        <f>AH15+'Detailed PnL'!AI45</f>
        <v>30262344.03225727</v>
      </c>
      <c r="AJ15" s="73">
        <f>AI15+'Detailed PnL'!AJ45</f>
        <v>37111648.411013454</v>
      </c>
      <c r="AK15" s="73">
        <f>AJ15+'Detailed PnL'!AK45</f>
        <v>47138245.613797538</v>
      </c>
      <c r="AL15" s="73">
        <f>AK15+'Detailed PnL'!AL45</f>
        <v>58616508.641128443</v>
      </c>
      <c r="AM15" s="73">
        <f>AL15+'Detailed PnL'!AM45</f>
        <v>50673365.528198637</v>
      </c>
      <c r="AO15" s="73">
        <f>AM15+'Detailed PnL'!AO45</f>
        <v>79578114.263603926</v>
      </c>
      <c r="AP15" s="73">
        <f>AO15+'Detailed PnL'!AP45</f>
        <v>195030000.12559831</v>
      </c>
    </row>
    <row r="16" spans="1:42" ht="14.45">
      <c r="A16" s="3" t="s">
        <v>43</v>
      </c>
      <c r="B16" s="4"/>
      <c r="D16" s="62">
        <f t="shared" ref="D16:AM16" si="2">0</f>
        <v>0</v>
      </c>
      <c r="E16" s="62">
        <f t="shared" si="2"/>
        <v>0</v>
      </c>
      <c r="F16" s="62">
        <f t="shared" si="2"/>
        <v>0</v>
      </c>
      <c r="G16" s="62">
        <f t="shared" si="2"/>
        <v>0</v>
      </c>
      <c r="H16" s="62">
        <f t="shared" si="2"/>
        <v>0</v>
      </c>
      <c r="I16" s="62">
        <f t="shared" si="2"/>
        <v>0</v>
      </c>
      <c r="J16" s="62">
        <f t="shared" si="2"/>
        <v>0</v>
      </c>
      <c r="K16" s="62">
        <f t="shared" si="2"/>
        <v>0</v>
      </c>
      <c r="L16" s="62">
        <f t="shared" si="2"/>
        <v>0</v>
      </c>
      <c r="M16" s="62">
        <f t="shared" si="2"/>
        <v>0</v>
      </c>
      <c r="N16" s="62">
        <f t="shared" si="2"/>
        <v>0</v>
      </c>
      <c r="O16" s="62">
        <f t="shared" si="2"/>
        <v>0</v>
      </c>
      <c r="P16" s="62">
        <f t="shared" si="2"/>
        <v>0</v>
      </c>
      <c r="Q16" s="62">
        <f t="shared" si="2"/>
        <v>0</v>
      </c>
      <c r="R16" s="62">
        <f t="shared" si="2"/>
        <v>0</v>
      </c>
      <c r="S16" s="62">
        <f t="shared" si="2"/>
        <v>0</v>
      </c>
      <c r="T16" s="62">
        <f t="shared" si="2"/>
        <v>0</v>
      </c>
      <c r="U16" s="62">
        <f t="shared" si="2"/>
        <v>0</v>
      </c>
      <c r="V16" s="62">
        <f t="shared" si="2"/>
        <v>0</v>
      </c>
      <c r="W16" s="62">
        <f t="shared" si="2"/>
        <v>0</v>
      </c>
      <c r="X16" s="62">
        <f t="shared" si="2"/>
        <v>0</v>
      </c>
      <c r="Y16" s="62">
        <f t="shared" si="2"/>
        <v>0</v>
      </c>
      <c r="Z16" s="62">
        <f t="shared" si="2"/>
        <v>0</v>
      </c>
      <c r="AA16" s="62">
        <f t="shared" si="2"/>
        <v>0</v>
      </c>
      <c r="AB16" s="62">
        <f t="shared" si="2"/>
        <v>0</v>
      </c>
      <c r="AC16" s="62">
        <f t="shared" si="2"/>
        <v>0</v>
      </c>
      <c r="AD16" s="62">
        <f t="shared" si="2"/>
        <v>0</v>
      </c>
      <c r="AE16" s="62">
        <f t="shared" si="2"/>
        <v>0</v>
      </c>
      <c r="AF16" s="62">
        <f t="shared" si="2"/>
        <v>0</v>
      </c>
      <c r="AG16" s="62">
        <f t="shared" si="2"/>
        <v>0</v>
      </c>
      <c r="AH16" s="62">
        <f t="shared" si="2"/>
        <v>0</v>
      </c>
      <c r="AI16" s="62">
        <f t="shared" si="2"/>
        <v>0</v>
      </c>
      <c r="AJ16" s="62">
        <f t="shared" si="2"/>
        <v>0</v>
      </c>
      <c r="AK16" s="62">
        <f t="shared" si="2"/>
        <v>0</v>
      </c>
      <c r="AL16" s="62">
        <f t="shared" si="2"/>
        <v>0</v>
      </c>
      <c r="AM16" s="62">
        <f t="shared" si="2"/>
        <v>0</v>
      </c>
      <c r="AO16" s="62">
        <f t="shared" ref="AO16:AP16" si="3">0</f>
        <v>0</v>
      </c>
      <c r="AP16" s="62">
        <f t="shared" si="3"/>
        <v>0</v>
      </c>
    </row>
    <row r="17" spans="1:42" ht="14.45">
      <c r="A17" s="4" t="s">
        <v>44</v>
      </c>
      <c r="B17" s="4" t="s">
        <v>67</v>
      </c>
      <c r="D17" s="74">
        <f>'Working Capital'!H21</f>
        <v>2367863</v>
      </c>
      <c r="E17" s="74">
        <f>'Working Capital'!I21</f>
        <v>2275606.9500000002</v>
      </c>
      <c r="F17" s="74">
        <f>'Working Capital'!J21</f>
        <v>2293301.2000000002</v>
      </c>
      <c r="G17" s="74">
        <f>'Working Capital'!K21</f>
        <v>3332189.875</v>
      </c>
      <c r="H17" s="74">
        <f>'Working Capital'!L21</f>
        <v>3561747.9750000001</v>
      </c>
      <c r="I17" s="74">
        <f>'Working Capital'!M21</f>
        <v>3796643.8333333335</v>
      </c>
      <c r="J17" s="74">
        <f>'Working Capital'!N21</f>
        <v>4334779.6333333328</v>
      </c>
      <c r="K17" s="74">
        <f>'Working Capital'!O21</f>
        <v>4804862.0166666666</v>
      </c>
      <c r="L17" s="74">
        <f>'Working Capital'!P21</f>
        <v>4533294.3966666665</v>
      </c>
      <c r="M17" s="74">
        <f>'Working Capital'!Q21</f>
        <v>5008607.6776666669</v>
      </c>
      <c r="N17" s="74">
        <f>'Working Capital'!R21</f>
        <v>4958353.3398666671</v>
      </c>
      <c r="O17" s="74">
        <f>'Working Capital'!S21</f>
        <v>5012032.0895066671</v>
      </c>
      <c r="P17" s="74">
        <f>'Working Capital'!T21</f>
        <v>4540718.0902784001</v>
      </c>
      <c r="Q17" s="74">
        <f>'Working Capital'!U21</f>
        <v>4812181.6085840799</v>
      </c>
      <c r="R17" s="74">
        <f>'Working Capital'!V21</f>
        <v>4628381.2663008962</v>
      </c>
      <c r="S17" s="74">
        <f>'Working Capital'!W21</f>
        <v>4818979.6055610757</v>
      </c>
      <c r="T17" s="74">
        <f>'Working Capital'!X21</f>
        <v>4823491.50692329</v>
      </c>
      <c r="U17" s="74">
        <f>'Working Capital'!Y21</f>
        <v>4723196.8318079486</v>
      </c>
      <c r="V17" s="74">
        <f>'Working Capital'!Z21</f>
        <v>5275083.563169538</v>
      </c>
      <c r="W17" s="74">
        <f>'Working Capital'!AA21</f>
        <v>5316689.4558034446</v>
      </c>
      <c r="X17" s="74">
        <f>'Working Capital'!AB21</f>
        <v>5840893.5522141345</v>
      </c>
      <c r="Y17" s="74">
        <f>'Working Capital'!AC21</f>
        <v>6618051.284906961</v>
      </c>
      <c r="Z17" s="74">
        <f>'Working Capital'!AD21</f>
        <v>6684485.8893883536</v>
      </c>
      <c r="AA17" s="74">
        <f>'Working Capital'!AE21</f>
        <v>7310914.3550160248</v>
      </c>
      <c r="AB17" s="74">
        <f>'Working Capital'!AF21</f>
        <v>8130894.6009326912</v>
      </c>
      <c r="AC17" s="74">
        <f>'Working Capital'!AG21</f>
        <v>8075083.5176442303</v>
      </c>
      <c r="AD17" s="74">
        <f>'Working Capital'!AH21</f>
        <v>8903873.4481980745</v>
      </c>
      <c r="AE17" s="74">
        <f>'Working Capital'!AI21</f>
        <v>9638092.2828626893</v>
      </c>
      <c r="AF17" s="74">
        <f>'Working Capital'!AJ21</f>
        <v>9824616.3477102295</v>
      </c>
      <c r="AG17" s="74">
        <f>'Working Capital'!AK21</f>
        <v>10926505.963514775</v>
      </c>
      <c r="AH17" s="74">
        <f>'Working Capital'!AL21</f>
        <v>11975662.734855227</v>
      </c>
      <c r="AI17" s="74">
        <f>'Working Capital'!AM21</f>
        <v>12810756.509213775</v>
      </c>
      <c r="AJ17" s="74">
        <f>'Working Capital'!AN21</f>
        <v>14002781.326194029</v>
      </c>
      <c r="AK17" s="74">
        <f>'Working Capital'!AO21</f>
        <v>15516418.589720335</v>
      </c>
      <c r="AL17" s="74">
        <f>'Working Capital'!AP21</f>
        <v>16902979.665176902</v>
      </c>
      <c r="AM17" s="74">
        <f>'Working Capital'!AQ21</f>
        <v>16540666.965724781</v>
      </c>
      <c r="AO17" s="74">
        <f>'Working Capital'!AS21</f>
        <v>148199006.33948267</v>
      </c>
      <c r="AP17" s="74">
        <f>'Working Capital'!AT21</f>
        <v>296844272.04673749</v>
      </c>
    </row>
    <row r="18" spans="1:42" ht="14.45">
      <c r="A18" s="4"/>
      <c r="B18" s="4"/>
    </row>
    <row r="19" spans="1:42" ht="14.45">
      <c r="A19" s="5" t="s">
        <v>45</v>
      </c>
      <c r="B19" s="5"/>
      <c r="C19" s="11"/>
      <c r="D19" s="16">
        <f t="shared" ref="D19:AM19" si="4">SUM(D15:D17)</f>
        <v>1473040.5555555555</v>
      </c>
      <c r="E19" s="16">
        <f t="shared" si="4"/>
        <v>613884.28777777799</v>
      </c>
      <c r="F19" s="16">
        <f t="shared" si="4"/>
        <v>-131349.61333333328</v>
      </c>
      <c r="G19" s="16">
        <f t="shared" si="4"/>
        <v>-674669.03833333356</v>
      </c>
      <c r="H19" s="16">
        <f t="shared" si="4"/>
        <v>-728225.89166666707</v>
      </c>
      <c r="I19" s="16">
        <f t="shared" si="4"/>
        <v>-2479159.6333333342</v>
      </c>
      <c r="J19" s="16">
        <f t="shared" si="4"/>
        <v>-2722340.1266666679</v>
      </c>
      <c r="K19" s="16">
        <f t="shared" si="4"/>
        <v>-3460157.1300000008</v>
      </c>
      <c r="L19" s="16">
        <f t="shared" si="4"/>
        <v>-6118108.8993333336</v>
      </c>
      <c r="M19" s="16">
        <f t="shared" si="4"/>
        <v>-6736757.6095333332</v>
      </c>
      <c r="N19" s="16">
        <f t="shared" si="4"/>
        <v>-7755583.23544</v>
      </c>
      <c r="O19" s="16">
        <f t="shared" si="4"/>
        <v>-8641557.4328613337</v>
      </c>
      <c r="P19" s="16">
        <f t="shared" si="4"/>
        <v>-9397632.6993868798</v>
      </c>
      <c r="Q19" s="16">
        <f t="shared" si="4"/>
        <v>-7976389.2209712695</v>
      </c>
      <c r="R19" s="16">
        <f t="shared" si="4"/>
        <v>-9830021.3449892029</v>
      </c>
      <c r="S19" s="16">
        <f t="shared" si="4"/>
        <v>-9534236.6110107228</v>
      </c>
      <c r="T19" s="16">
        <f t="shared" si="4"/>
        <v>-9221487.1711198818</v>
      </c>
      <c r="U19" s="16">
        <f t="shared" si="4"/>
        <v>-8682192.0838675369</v>
      </c>
      <c r="V19" s="16">
        <f t="shared" si="4"/>
        <v>-7552038.6816647248</v>
      </c>
      <c r="W19" s="16">
        <f t="shared" si="4"/>
        <v>-6647026.3093546834</v>
      </c>
      <c r="X19" s="16">
        <f t="shared" si="4"/>
        <v>-3846318.7257992998</v>
      </c>
      <c r="Y19" s="16">
        <f t="shared" si="4"/>
        <v>-707332.57673284039</v>
      </c>
      <c r="Z19" s="16">
        <f t="shared" si="4"/>
        <v>580717.83606357872</v>
      </c>
      <c r="AA19" s="16">
        <f t="shared" si="4"/>
        <v>1365046.870063968</v>
      </c>
      <c r="AB19" s="16">
        <f t="shared" si="4"/>
        <v>4881898.2637016214</v>
      </c>
      <c r="AC19" s="16">
        <f t="shared" si="4"/>
        <v>6728991.0303783435</v>
      </c>
      <c r="AD19" s="16">
        <f t="shared" si="4"/>
        <v>11193878.391323742</v>
      </c>
      <c r="AE19" s="16">
        <f t="shared" si="4"/>
        <v>16304375.420624888</v>
      </c>
      <c r="AF19" s="16">
        <f t="shared" si="4"/>
        <v>20256813.451136265</v>
      </c>
      <c r="AG19" s="16">
        <f t="shared" si="4"/>
        <v>27101238.984060749</v>
      </c>
      <c r="AH19" s="16">
        <f t="shared" si="4"/>
        <v>34678923.25850179</v>
      </c>
      <c r="AI19" s="16">
        <f t="shared" si="4"/>
        <v>43073100.541471049</v>
      </c>
      <c r="AJ19" s="16">
        <f t="shared" si="4"/>
        <v>51114429.737207487</v>
      </c>
      <c r="AK19" s="16">
        <f t="shared" si="4"/>
        <v>62654664.203517869</v>
      </c>
      <c r="AL19" s="16">
        <f t="shared" si="4"/>
        <v>75519488.306305349</v>
      </c>
      <c r="AM19" s="16">
        <f t="shared" si="4"/>
        <v>67214032.493923426</v>
      </c>
      <c r="AN19" s="16"/>
      <c r="AO19" s="16">
        <f t="shared" ref="AO19:AP19" si="5">SUM(AO15:AO17)</f>
        <v>227777120.60308659</v>
      </c>
      <c r="AP19" s="16">
        <f t="shared" si="5"/>
        <v>491874272.1723358</v>
      </c>
    </row>
    <row r="21" spans="1:42" ht="15" customHeight="1">
      <c r="AO21" s="54"/>
      <c r="AP21" s="5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P28"/>
  <sheetViews>
    <sheetView showGridLines="0" workbookViewId="0">
      <pane xSplit="2" topLeftCell="C1" activePane="topRight" state="frozen"/>
      <selection pane="topRight" activeCell="C28" sqref="C28"/>
    </sheetView>
  </sheetViews>
  <sheetFormatPr defaultColWidth="14.42578125" defaultRowHeight="15" customHeight="1"/>
  <cols>
    <col min="1" max="1" width="30.5703125" customWidth="1"/>
    <col min="2" max="2" width="18.42578125" customWidth="1"/>
    <col min="3" max="3" width="6" customWidth="1"/>
    <col min="40" max="40" width="9" customWidth="1"/>
  </cols>
  <sheetData>
    <row r="1" spans="1:42" ht="15" customHeight="1">
      <c r="A1" s="1" t="s">
        <v>0</v>
      </c>
    </row>
    <row r="2" spans="1:42" ht="15" customHeight="1">
      <c r="A2" s="2" t="s">
        <v>70</v>
      </c>
    </row>
    <row r="3" spans="1:42" ht="14.45">
      <c r="A3" s="3" t="s">
        <v>2</v>
      </c>
    </row>
    <row r="6" spans="1:42" ht="14.45">
      <c r="A6" s="9" t="s">
        <v>3</v>
      </c>
      <c r="B6" s="9" t="s">
        <v>60</v>
      </c>
      <c r="C6" s="14"/>
      <c r="D6" s="15">
        <v>45383</v>
      </c>
      <c r="E6" s="15">
        <v>45413</v>
      </c>
      <c r="F6" s="15">
        <v>45444</v>
      </c>
      <c r="G6" s="15">
        <v>45474</v>
      </c>
      <c r="H6" s="15">
        <v>45505</v>
      </c>
      <c r="I6" s="15">
        <v>45536</v>
      </c>
      <c r="J6" s="15">
        <v>45566</v>
      </c>
      <c r="K6" s="15">
        <v>45597</v>
      </c>
      <c r="L6" s="15">
        <v>45627</v>
      </c>
      <c r="M6" s="15">
        <v>45658</v>
      </c>
      <c r="N6" s="15">
        <v>45689</v>
      </c>
      <c r="O6" s="15">
        <v>45717</v>
      </c>
      <c r="P6" s="15">
        <v>45748</v>
      </c>
      <c r="Q6" s="15">
        <v>45778</v>
      </c>
      <c r="R6" s="15">
        <v>45809</v>
      </c>
      <c r="S6" s="15">
        <v>45839</v>
      </c>
      <c r="T6" s="15">
        <v>45870</v>
      </c>
      <c r="U6" s="15">
        <v>45901</v>
      </c>
      <c r="V6" s="15">
        <v>45931</v>
      </c>
      <c r="W6" s="15">
        <v>45962</v>
      </c>
      <c r="X6" s="15">
        <v>45992</v>
      </c>
      <c r="Y6" s="15">
        <v>46023</v>
      </c>
      <c r="Z6" s="15">
        <v>46054</v>
      </c>
      <c r="AA6" s="15">
        <v>46082</v>
      </c>
      <c r="AB6" s="15">
        <v>46113</v>
      </c>
      <c r="AC6" s="15">
        <v>46143</v>
      </c>
      <c r="AD6" s="15">
        <v>46174</v>
      </c>
      <c r="AE6" s="15">
        <v>46204</v>
      </c>
      <c r="AF6" s="15">
        <v>46235</v>
      </c>
      <c r="AG6" s="15">
        <v>46266</v>
      </c>
      <c r="AH6" s="15">
        <v>46296</v>
      </c>
      <c r="AI6" s="15">
        <v>46327</v>
      </c>
      <c r="AJ6" s="15">
        <v>46357</v>
      </c>
      <c r="AK6" s="15">
        <v>46388</v>
      </c>
      <c r="AL6" s="15">
        <v>46419</v>
      </c>
      <c r="AM6" s="15">
        <v>46447</v>
      </c>
      <c r="AN6" s="4"/>
      <c r="AO6" s="15" t="s">
        <v>7</v>
      </c>
      <c r="AP6" s="15" t="s">
        <v>8</v>
      </c>
    </row>
    <row r="7" spans="1:42" ht="14.45">
      <c r="A7" s="4" t="s">
        <v>47</v>
      </c>
      <c r="B7" s="4" t="s">
        <v>69</v>
      </c>
      <c r="D7" s="73">
        <f>'Detailed PnL'!D45</f>
        <v>-894822.4444444445</v>
      </c>
      <c r="E7" s="73">
        <f>'Detailed PnL'!E45</f>
        <v>-766900.2177777777</v>
      </c>
      <c r="F7" s="73">
        <f>'Detailed PnL'!F45</f>
        <v>-762928.15111111116</v>
      </c>
      <c r="G7" s="73">
        <f>'Detailed PnL'!G45</f>
        <v>-1582208.1</v>
      </c>
      <c r="H7" s="73">
        <f>'Detailed PnL'!H45</f>
        <v>-283114.95333333331</v>
      </c>
      <c r="I7" s="73">
        <f>'Detailed PnL'!I45</f>
        <v>-1985829.6000000003</v>
      </c>
      <c r="J7" s="73">
        <f>'Detailed PnL'!J45</f>
        <v>-781316.2933333331</v>
      </c>
      <c r="K7" s="73">
        <f>'Detailed PnL'!K45</f>
        <v>-1207899.3866666669</v>
      </c>
      <c r="L7" s="73">
        <f>'Detailed PnL'!L45</f>
        <v>-2386384.1493333336</v>
      </c>
      <c r="M7" s="73">
        <f>'Detailed PnL'!M45</f>
        <v>-1093961.9912000003</v>
      </c>
      <c r="N7" s="73">
        <f>'Detailed PnL'!N45</f>
        <v>-968571.28810666711</v>
      </c>
      <c r="O7" s="73">
        <f>'Detailed PnL'!O45</f>
        <v>-939652.94706133346</v>
      </c>
      <c r="P7" s="73">
        <f>'Detailed PnL'!P45</f>
        <v>-284761.26729727961</v>
      </c>
      <c r="Q7" s="73">
        <f>'Detailed PnL'!Q45</f>
        <v>1149779.9601099303</v>
      </c>
      <c r="R7" s="73">
        <f>'Detailed PnL'!R45</f>
        <v>-1669831.7817347501</v>
      </c>
      <c r="S7" s="73">
        <f>'Detailed PnL'!S45</f>
        <v>105186.39471830019</v>
      </c>
      <c r="T7" s="73">
        <f>'Detailed PnL'!T45</f>
        <v>308237.53852862708</v>
      </c>
      <c r="U7" s="73">
        <f>'Detailed PnL'!U45</f>
        <v>639589.76236768556</v>
      </c>
      <c r="V7" s="73">
        <f>'Detailed PnL'!V45</f>
        <v>578266.67084122228</v>
      </c>
      <c r="W7" s="73">
        <f>'Detailed PnL'!W45</f>
        <v>863406.47967613419</v>
      </c>
      <c r="X7" s="73">
        <f>'Detailed PnL'!X45</f>
        <v>2276503.4871446937</v>
      </c>
      <c r="Y7" s="73">
        <f>'Detailed PnL'!Y45</f>
        <v>2361828.4163736328</v>
      </c>
      <c r="Z7" s="73">
        <f>'Detailed PnL'!Z45</f>
        <v>1221615.8083150268</v>
      </c>
      <c r="AA7" s="73">
        <f>'Detailed PnL'!AA45</f>
        <v>157900.56837271806</v>
      </c>
      <c r="AB7" s="73">
        <f>'Detailed PnL'!AB45</f>
        <v>2696871.1477209865</v>
      </c>
      <c r="AC7" s="73">
        <f>'Detailed PnL'!AC45</f>
        <v>1902903.8499651831</v>
      </c>
      <c r="AD7" s="73">
        <f>'Detailed PnL'!AD45</f>
        <v>3636097.4303915547</v>
      </c>
      <c r="AE7" s="73">
        <f>'Detailed PnL'!AE45</f>
        <v>4376278.1946365312</v>
      </c>
      <c r="AF7" s="73">
        <f>'Detailed PnL'!AF45</f>
        <v>3765913.9656638377</v>
      </c>
      <c r="AG7" s="73">
        <f>'Detailed PnL'!AG45</f>
        <v>5742535.9171199379</v>
      </c>
      <c r="AH7" s="73">
        <f>'Detailed PnL'!AH45</f>
        <v>6528527.5031005908</v>
      </c>
      <c r="AI7" s="73">
        <f>'Detailed PnL'!AI45</f>
        <v>7559083.5086107077</v>
      </c>
      <c r="AJ7" s="73">
        <f>'Detailed PnL'!AJ45</f>
        <v>6849304.3787561832</v>
      </c>
      <c r="AK7" s="73">
        <f>'Detailed PnL'!AK45</f>
        <v>10026597.202784086</v>
      </c>
      <c r="AL7" s="73">
        <f>'Detailed PnL'!AL45</f>
        <v>11478263.027330907</v>
      </c>
      <c r="AM7" s="73">
        <f>'Detailed PnL'!AM45</f>
        <v>-7943143.112929808</v>
      </c>
      <c r="AO7" s="73">
        <f>'Detailed PnL'!AO45</f>
        <v>28904748.735405281</v>
      </c>
      <c r="AP7" s="73">
        <f>'Detailed PnL'!AP45</f>
        <v>115451885.86199439</v>
      </c>
    </row>
    <row r="8" spans="1:42" ht="14.45">
      <c r="A8" s="4" t="s">
        <v>26</v>
      </c>
      <c r="B8" s="4" t="s">
        <v>69</v>
      </c>
      <c r="D8" s="73">
        <f>'Detailed PnL'!D33</f>
        <v>26944.444444444442</v>
      </c>
      <c r="E8" s="73">
        <f>'Detailed PnL'!E33</f>
        <v>40277.777777777774</v>
      </c>
      <c r="F8" s="73">
        <f>'Detailed PnL'!F33</f>
        <v>53611.111111111117</v>
      </c>
      <c r="G8" s="73">
        <f>'Detailed PnL'!G33</f>
        <v>72500</v>
      </c>
      <c r="H8" s="73">
        <f>'Detailed PnL'!H33</f>
        <v>85833.333333333328</v>
      </c>
      <c r="I8" s="73">
        <f>'Detailed PnL'!I33</f>
        <v>99166.666666666672</v>
      </c>
      <c r="J8" s="73">
        <f>'Detailed PnL'!J33</f>
        <v>112500</v>
      </c>
      <c r="K8" s="73">
        <f>'Detailed PnL'!K33</f>
        <v>140000</v>
      </c>
      <c r="L8" s="73">
        <f>'Detailed PnL'!L33</f>
        <v>161666.66666666666</v>
      </c>
      <c r="M8" s="73">
        <f>'Detailed PnL'!M33</f>
        <v>183333.33333333334</v>
      </c>
      <c r="N8" s="73">
        <f>'Detailed PnL'!N33</f>
        <v>205000</v>
      </c>
      <c r="O8" s="73">
        <f>'Detailed PnL'!O33</f>
        <v>226666.66666666666</v>
      </c>
      <c r="P8" s="73">
        <f>'Detailed PnL'!P33</f>
        <v>250500</v>
      </c>
      <c r="Q8" s="73">
        <f>'Detailed PnL'!Q33</f>
        <v>274333.33333333331</v>
      </c>
      <c r="R8" s="73">
        <f>'Detailed PnL'!R33</f>
        <v>298166.66666666669</v>
      </c>
      <c r="S8" s="73">
        <f>'Detailed PnL'!S33</f>
        <v>322000</v>
      </c>
      <c r="T8" s="73">
        <f>'Detailed PnL'!T33</f>
        <v>345833.33333333331</v>
      </c>
      <c r="U8" s="73">
        <f>'Detailed PnL'!U33</f>
        <v>369666.66666666669</v>
      </c>
      <c r="V8" s="73">
        <f>'Detailed PnL'!V33</f>
        <v>393500</v>
      </c>
      <c r="W8" s="73">
        <f>'Detailed PnL'!W33</f>
        <v>417333.33333333331</v>
      </c>
      <c r="X8" s="73">
        <f>'Detailed PnL'!X33</f>
        <v>441166.66666666669</v>
      </c>
      <c r="Y8" s="73">
        <f>'Detailed PnL'!Y33</f>
        <v>465000</v>
      </c>
      <c r="Z8" s="73">
        <f>'Detailed PnL'!Z33</f>
        <v>488833.33333333331</v>
      </c>
      <c r="AA8" s="73">
        <f>'Detailed PnL'!AA33</f>
        <v>512666.66666666669</v>
      </c>
      <c r="AB8" s="73">
        <f>'Detailed PnL'!AB33</f>
        <v>538883.33333333337</v>
      </c>
      <c r="AC8" s="73">
        <f>'Detailed PnL'!AC33</f>
        <v>565100</v>
      </c>
      <c r="AD8" s="73">
        <f>'Detailed PnL'!AD33</f>
        <v>591316.66666666663</v>
      </c>
      <c r="AE8" s="73">
        <f>'Detailed PnL'!AE33</f>
        <v>617533.33333333337</v>
      </c>
      <c r="AF8" s="73">
        <f>'Detailed PnL'!AF33</f>
        <v>643750</v>
      </c>
      <c r="AG8" s="73">
        <f>'Detailed PnL'!AG33</f>
        <v>669966.66666666663</v>
      </c>
      <c r="AH8" s="73">
        <f>'Detailed PnL'!AH33</f>
        <v>696183.33333333337</v>
      </c>
      <c r="AI8" s="73">
        <f>'Detailed PnL'!AI33</f>
        <v>722400</v>
      </c>
      <c r="AJ8" s="73">
        <f>'Detailed PnL'!AJ33</f>
        <v>748616.66666666663</v>
      </c>
      <c r="AK8" s="73">
        <f>'Detailed PnL'!AK33</f>
        <v>774833.33333333337</v>
      </c>
      <c r="AL8" s="73">
        <f>'Detailed PnL'!AL33</f>
        <v>801050</v>
      </c>
      <c r="AM8" s="73">
        <f>'Detailed PnL'!AM33</f>
        <v>827266.66666666663</v>
      </c>
      <c r="AO8" s="73">
        <f>'Detailed PnL'!AO33</f>
        <v>4386053.333333333</v>
      </c>
      <c r="AP8" s="73">
        <f>'Detailed PnL'!AP33</f>
        <v>8954045.333333334</v>
      </c>
    </row>
    <row r="9" spans="1:42" ht="14.45">
      <c r="A9" s="4" t="s">
        <v>48</v>
      </c>
      <c r="B9" s="4" t="s">
        <v>69</v>
      </c>
      <c r="D9" s="73">
        <f t="shared" ref="D9:AM9" si="0">D7+D8</f>
        <v>-867878</v>
      </c>
      <c r="E9" s="73">
        <f t="shared" si="0"/>
        <v>-726622.44</v>
      </c>
      <c r="F9" s="73">
        <f t="shared" si="0"/>
        <v>-709317.04</v>
      </c>
      <c r="G9" s="73">
        <f t="shared" si="0"/>
        <v>-1509708.1</v>
      </c>
      <c r="H9" s="73">
        <f t="shared" si="0"/>
        <v>-197281.62</v>
      </c>
      <c r="I9" s="73">
        <f t="shared" si="0"/>
        <v>-1886662.9333333336</v>
      </c>
      <c r="J9" s="73">
        <f t="shared" si="0"/>
        <v>-668816.2933333331</v>
      </c>
      <c r="K9" s="73">
        <f t="shared" si="0"/>
        <v>-1067899.3866666669</v>
      </c>
      <c r="L9" s="73">
        <f t="shared" si="0"/>
        <v>-2224717.4826666671</v>
      </c>
      <c r="M9" s="73">
        <f t="shared" si="0"/>
        <v>-910628.65786666691</v>
      </c>
      <c r="N9" s="73">
        <f t="shared" si="0"/>
        <v>-763571.28810666711</v>
      </c>
      <c r="O9" s="73">
        <f t="shared" si="0"/>
        <v>-712986.28039466683</v>
      </c>
      <c r="P9" s="73">
        <f t="shared" si="0"/>
        <v>-34261.267297279614</v>
      </c>
      <c r="Q9" s="73">
        <f t="shared" si="0"/>
        <v>1424113.2934432635</v>
      </c>
      <c r="R9" s="73">
        <f t="shared" si="0"/>
        <v>-1371665.1150680834</v>
      </c>
      <c r="S9" s="73">
        <f t="shared" si="0"/>
        <v>427186.3947183002</v>
      </c>
      <c r="T9" s="73">
        <f t="shared" si="0"/>
        <v>654070.87186196039</v>
      </c>
      <c r="U9" s="73">
        <f t="shared" si="0"/>
        <v>1009256.4290343523</v>
      </c>
      <c r="V9" s="73">
        <f t="shared" si="0"/>
        <v>971766.67084122228</v>
      </c>
      <c r="W9" s="73">
        <f t="shared" si="0"/>
        <v>1280739.8130094674</v>
      </c>
      <c r="X9" s="73">
        <f t="shared" si="0"/>
        <v>2717670.1538113602</v>
      </c>
      <c r="Y9" s="73">
        <f t="shared" si="0"/>
        <v>2826828.4163736328</v>
      </c>
      <c r="Z9" s="73">
        <f t="shared" si="0"/>
        <v>1710449.1416483601</v>
      </c>
      <c r="AA9" s="73">
        <f t="shared" si="0"/>
        <v>670567.2350393848</v>
      </c>
      <c r="AB9" s="73">
        <f t="shared" si="0"/>
        <v>3235754.48105432</v>
      </c>
      <c r="AC9" s="73">
        <f t="shared" si="0"/>
        <v>2468003.8499651831</v>
      </c>
      <c r="AD9" s="73">
        <f t="shared" si="0"/>
        <v>4227414.0970582217</v>
      </c>
      <c r="AE9" s="73">
        <f t="shared" si="0"/>
        <v>4993811.5279698642</v>
      </c>
      <c r="AF9" s="73">
        <f t="shared" si="0"/>
        <v>4409663.9656638373</v>
      </c>
      <c r="AG9" s="73">
        <f t="shared" si="0"/>
        <v>6412502.5837866049</v>
      </c>
      <c r="AH9" s="73">
        <f t="shared" si="0"/>
        <v>7224710.8364339238</v>
      </c>
      <c r="AI9" s="73">
        <f t="shared" si="0"/>
        <v>8281483.5086107077</v>
      </c>
      <c r="AJ9" s="73">
        <f t="shared" si="0"/>
        <v>7597921.0454228502</v>
      </c>
      <c r="AK9" s="73">
        <f t="shared" si="0"/>
        <v>10801430.53611742</v>
      </c>
      <c r="AL9" s="73">
        <f t="shared" si="0"/>
        <v>12279313.027330907</v>
      </c>
      <c r="AM9" s="73">
        <f t="shared" si="0"/>
        <v>-7115876.446263141</v>
      </c>
      <c r="AO9" s="73">
        <f t="shared" ref="AO9:AP9" si="1">AO7+AO8</f>
        <v>33290802.068738613</v>
      </c>
      <c r="AP9" s="73">
        <f t="shared" si="1"/>
        <v>124405931.19532771</v>
      </c>
    </row>
    <row r="10" spans="1:42" ht="14.45">
      <c r="A10" s="4"/>
      <c r="B10" s="4"/>
    </row>
    <row r="11" spans="1:42" ht="14.45">
      <c r="A11" s="5" t="s">
        <v>49</v>
      </c>
      <c r="B11" s="4"/>
    </row>
    <row r="12" spans="1:42" ht="14.45">
      <c r="A12" s="4" t="s">
        <v>38</v>
      </c>
      <c r="B12" s="4" t="s">
        <v>71</v>
      </c>
      <c r="D12" s="74">
        <f>-'Working Capital'!H20</f>
        <v>-1500000</v>
      </c>
      <c r="E12" s="74">
        <f>-'Working Capital'!I20+'Working Capital'!H20</f>
        <v>-49000</v>
      </c>
      <c r="F12" s="74">
        <f>-'Working Capital'!J20+'Working Capital'!I20</f>
        <v>-35000</v>
      </c>
      <c r="G12" s="74">
        <f>-'Working Capital'!K20+'Working Capital'!J20</f>
        <v>-238500</v>
      </c>
      <c r="H12" s="74">
        <f>-'Working Capital'!L20+'Working Capital'!K20</f>
        <v>-1542000</v>
      </c>
      <c r="I12" s="74">
        <f>-'Working Capital'!M20+'Working Capital'!L20</f>
        <v>1454500</v>
      </c>
      <c r="J12" s="74">
        <f>-'Working Capital'!N20+'Working Capital'!M20</f>
        <v>-1756000</v>
      </c>
      <c r="K12" s="74">
        <f>-'Working Capital'!O20+'Working Capital'!N20</f>
        <v>-71000</v>
      </c>
      <c r="L12" s="74">
        <f>-'Working Capital'!P20+'Working Capital'!O20</f>
        <v>1428400</v>
      </c>
      <c r="M12" s="74">
        <f>-'Working Capital'!Q20+'Working Capital'!P20</f>
        <v>-1789420</v>
      </c>
      <c r="N12" s="74">
        <f>-'Working Capital'!R20+'Working Capital'!Q20</f>
        <v>-96804</v>
      </c>
      <c r="O12" s="74">
        <f>-'Working Capital'!S20+'Working Capital'!R20</f>
        <v>-104264.79999999981</v>
      </c>
      <c r="P12" s="74">
        <f>-'Working Capital'!T20+'Working Capital'!S20</f>
        <v>-207413.08800000045</v>
      </c>
      <c r="Q12" s="74">
        <f>-'Working Capital'!U20+'Working Capital'!T20</f>
        <v>-1729855.3775999993</v>
      </c>
      <c r="R12" s="74">
        <f>-'Working Capital'!V20+'Working Capital'!U20</f>
        <v>2979608.5468799998</v>
      </c>
      <c r="S12" s="74">
        <f>-'Working Capital'!W20+'Working Capital'!V20</f>
        <v>-1989469.7437440003</v>
      </c>
      <c r="T12" s="74">
        <f>-'Working Capital'!X20+'Working Capital'!W20</f>
        <v>-231398.69249279983</v>
      </c>
      <c r="U12" s="74">
        <f>-'Working Capital'!Y20+'Working Capital'!X20</f>
        <v>-254893.43099135999</v>
      </c>
      <c r="V12" s="74">
        <f>-'Working Capital'!Z20+'Working Capital'!Y20</f>
        <v>-514402.1171896318</v>
      </c>
      <c r="W12" s="74">
        <f>-'Working Capital'!AA20+'Working Capital'!Z20</f>
        <v>-350582.54062755872</v>
      </c>
      <c r="X12" s="74">
        <f>-'Working Capital'!AB20+'Working Capital'!AA20</f>
        <v>-1961154.0487530697</v>
      </c>
      <c r="Y12" s="74">
        <f>-'Working Capital'!AC20+'Working Capital'!AB20</f>
        <v>-886324.8585036844</v>
      </c>
      <c r="Z12" s="74">
        <f>-'Working Capital'!AD20+'Working Capital'!AC20</f>
        <v>1049955.1697955783</v>
      </c>
      <c r="AA12" s="74">
        <f>-'Working Capital'!AE20+'Working Capital'!AD20</f>
        <v>-2155808.7962453049</v>
      </c>
      <c r="AB12" s="74">
        <f>-'Working Capital'!AF20+'Working Capital'!AE20</f>
        <v>-815934.97214267589</v>
      </c>
      <c r="AC12" s="74">
        <f>-'Working Capital'!AG20+'Working Capital'!AF20</f>
        <v>823569.95007709973</v>
      </c>
      <c r="AD12" s="74">
        <f>-'Working Capital'!AH20+'Working Capital'!AG20</f>
        <v>-2588226.0599074829</v>
      </c>
      <c r="AE12" s="74">
        <f>-'Working Capital'!AI20+'Working Capital'!AH20</f>
        <v>-1500631.2718889769</v>
      </c>
      <c r="AF12" s="74">
        <f>-'Working Capital'!AJ20+'Working Capital'!AI20</f>
        <v>397627.47373322584</v>
      </c>
      <c r="AG12" s="74">
        <f>-'Working Capital'!AK20+'Working Capital'!AJ20</f>
        <v>-3104759.2815201283</v>
      </c>
      <c r="AH12" s="74">
        <f>-'Working Capital'!AL20+'Working Capital'!AK20</f>
        <v>-1861383.6378241517</v>
      </c>
      <c r="AI12" s="74">
        <f>-'Working Capital'!AM20+'Working Capital'!AL20</f>
        <v>-1891885.365388982</v>
      </c>
      <c r="AJ12" s="74">
        <f>-'Working Capital'!AN20+'Working Capital'!AM20</f>
        <v>-508467.43846678361</v>
      </c>
      <c r="AK12" s="74">
        <f>-'Working Capital'!AO20+'Working Capital'!AN20</f>
        <v>-4717193.9261601381</v>
      </c>
      <c r="AL12" s="74">
        <f>-'Working Capital'!AP20+'Working Capital'!AO20</f>
        <v>-2864472.211392168</v>
      </c>
      <c r="AM12" s="74">
        <f>-'Working Capital'!AQ20+'Working Capital'!AP20</f>
        <v>884433.34632940218</v>
      </c>
      <c r="AO12" s="74">
        <f>-'Working Capital'!AS20+'Working Capital'!AQ20</f>
        <v>-162828484.74769199</v>
      </c>
      <c r="AP12" s="74">
        <f>-'Working Capital'!AT20+'Working Capital'!AS20</f>
        <v>-268612126.66397369</v>
      </c>
    </row>
    <row r="13" spans="1:42" ht="14.45">
      <c r="A13" s="4" t="s">
        <v>50</v>
      </c>
      <c r="B13" s="4" t="s">
        <v>71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0</v>
      </c>
      <c r="AM13" s="74">
        <v>0</v>
      </c>
      <c r="AN13" s="74"/>
      <c r="AO13" s="74">
        <v>0</v>
      </c>
      <c r="AP13" s="74">
        <v>0</v>
      </c>
    </row>
    <row r="14" spans="1:42" ht="14.45">
      <c r="A14" s="4" t="s">
        <v>44</v>
      </c>
      <c r="B14" s="4" t="s">
        <v>71</v>
      </c>
      <c r="D14" s="74">
        <f>'Working Capital'!H21</f>
        <v>2367863</v>
      </c>
      <c r="E14" s="74">
        <f>'Working Capital'!I21-'Working Capital'!H21</f>
        <v>-92256.049999999814</v>
      </c>
      <c r="F14" s="74">
        <f>'Working Capital'!J21-'Working Capital'!I21</f>
        <v>17694.25</v>
      </c>
      <c r="G14" s="74">
        <f>'Working Capital'!K21-'Working Capital'!J21</f>
        <v>1038888.6749999998</v>
      </c>
      <c r="H14" s="74">
        <f>'Working Capital'!L21-'Working Capital'!K21</f>
        <v>229558.10000000009</v>
      </c>
      <c r="I14" s="74">
        <f>'Working Capital'!M21-'Working Capital'!L21</f>
        <v>234895.8583333334</v>
      </c>
      <c r="J14" s="74">
        <f>'Working Capital'!N21-'Working Capital'!M21</f>
        <v>538135.79999999935</v>
      </c>
      <c r="K14" s="74">
        <f>'Working Capital'!O21-'Working Capital'!N21</f>
        <v>470082.38333333377</v>
      </c>
      <c r="L14" s="74">
        <f>'Working Capital'!P21-'Working Capital'!O21</f>
        <v>-271567.62000000011</v>
      </c>
      <c r="M14" s="74">
        <f>'Working Capital'!Q21-'Working Capital'!P21</f>
        <v>475313.28100000042</v>
      </c>
      <c r="N14" s="74">
        <f>'Working Capital'!R21-'Working Capital'!Q21</f>
        <v>-50254.337799999863</v>
      </c>
      <c r="O14" s="74">
        <f>'Working Capital'!S21-'Working Capital'!R21</f>
        <v>53678.749640000053</v>
      </c>
      <c r="P14" s="74">
        <f>'Working Capital'!T21-'Working Capital'!S21</f>
        <v>-471313.999228267</v>
      </c>
      <c r="Q14" s="74">
        <f>'Working Capital'!U21-'Working Capital'!T21</f>
        <v>271463.51830567978</v>
      </c>
      <c r="R14" s="74">
        <f>'Working Capital'!V21-'Working Capital'!U21</f>
        <v>-183800.34228318371</v>
      </c>
      <c r="S14" s="74">
        <f>'Working Capital'!W21-'Working Capital'!V21</f>
        <v>190598.33926017955</v>
      </c>
      <c r="T14" s="74">
        <f>'Working Capital'!X21-'Working Capital'!W21</f>
        <v>4511.9013622142375</v>
      </c>
      <c r="U14" s="74">
        <f>'Working Capital'!Y21-'Working Capital'!X21</f>
        <v>-100294.67511534132</v>
      </c>
      <c r="V14" s="74">
        <f>'Working Capital'!Z21-'Working Capital'!Y21</f>
        <v>551886.73136158939</v>
      </c>
      <c r="W14" s="74">
        <f>'Working Capital'!AA21-'Working Capital'!Z21</f>
        <v>41605.892633906566</v>
      </c>
      <c r="X14" s="74">
        <f>'Working Capital'!AB21-'Working Capital'!AA21</f>
        <v>524204.09641068988</v>
      </c>
      <c r="Y14" s="74">
        <f>'Working Capital'!AC21-'Working Capital'!AB21</f>
        <v>777157.73269282654</v>
      </c>
      <c r="Z14" s="74">
        <f>'Working Capital'!AD21-'Working Capital'!AC21</f>
        <v>66434.60448139254</v>
      </c>
      <c r="AA14" s="74">
        <f>'Working Capital'!AE21-'Working Capital'!AD21</f>
        <v>626428.46562767122</v>
      </c>
      <c r="AB14" s="74">
        <f>'Working Capital'!AF21-'Working Capital'!AE21</f>
        <v>819980.24591666646</v>
      </c>
      <c r="AC14" s="74">
        <f>'Working Capital'!AG21-'Working Capital'!AF21</f>
        <v>-55811.08328846097</v>
      </c>
      <c r="AD14" s="74">
        <f>'Working Capital'!AH21-'Working Capital'!AG21</f>
        <v>828789.9305538442</v>
      </c>
      <c r="AE14" s="74">
        <f>'Working Capital'!AI21-'Working Capital'!AH21</f>
        <v>734218.83466461487</v>
      </c>
      <c r="AF14" s="74">
        <f>'Working Capital'!AJ21-'Working Capital'!AI21</f>
        <v>186524.06484754011</v>
      </c>
      <c r="AG14" s="74">
        <f>'Working Capital'!AK21-'Working Capital'!AJ21</f>
        <v>1101889.6158045456</v>
      </c>
      <c r="AH14" s="74">
        <f>'Working Capital'!AL21-'Working Capital'!AK21</f>
        <v>1049156.7713404521</v>
      </c>
      <c r="AI14" s="74">
        <f>'Working Capital'!AM21-'Working Capital'!AL21</f>
        <v>835093.77435854822</v>
      </c>
      <c r="AJ14" s="74">
        <f>'Working Capital'!AN21-'Working Capital'!AM21</f>
        <v>1192024.8169802539</v>
      </c>
      <c r="AK14" s="74">
        <f>'Working Capital'!AO21-'Working Capital'!AN21</f>
        <v>1513637.2635263056</v>
      </c>
      <c r="AL14" s="74">
        <f>'Working Capital'!AP21-'Working Capital'!AO21</f>
        <v>1386561.0754565671</v>
      </c>
      <c r="AM14" s="74">
        <f>'Working Capital'!AQ21-'Working Capital'!AP21</f>
        <v>-362312.69945212081</v>
      </c>
      <c r="AO14" s="74">
        <f>'Working Capital'!AS21-'Working Capital'!AQ21</f>
        <v>131658339.37375788</v>
      </c>
      <c r="AP14" s="74">
        <f>'Working Capital'!AT21-'Working Capital'!AS21</f>
        <v>148645265.70725483</v>
      </c>
    </row>
    <row r="15" spans="1:42" ht="14.45">
      <c r="A15" s="4"/>
      <c r="B15" s="4"/>
    </row>
    <row r="16" spans="1:42" ht="14.45">
      <c r="A16" s="5" t="s">
        <v>51</v>
      </c>
      <c r="B16" s="4"/>
      <c r="D16" s="74">
        <f t="shared" ref="D16:AM16" si="2">SUM(D9:D14)</f>
        <v>-15</v>
      </c>
      <c r="E16" s="74">
        <f t="shared" si="2"/>
        <v>-867878.48999999976</v>
      </c>
      <c r="F16" s="74">
        <f t="shared" si="2"/>
        <v>-726622.79</v>
      </c>
      <c r="G16" s="74">
        <f t="shared" si="2"/>
        <v>-709319.42500000028</v>
      </c>
      <c r="H16" s="74">
        <f t="shared" si="2"/>
        <v>-1509723.52</v>
      </c>
      <c r="I16" s="74">
        <f t="shared" si="2"/>
        <v>-197267.07500000019</v>
      </c>
      <c r="J16" s="74">
        <f t="shared" si="2"/>
        <v>-1886680.4933333336</v>
      </c>
      <c r="K16" s="74">
        <f t="shared" si="2"/>
        <v>-668817.00333333318</v>
      </c>
      <c r="L16" s="74">
        <f t="shared" si="2"/>
        <v>-1067885.1026666672</v>
      </c>
      <c r="M16" s="74">
        <f t="shared" si="2"/>
        <v>-2224735.3768666666</v>
      </c>
      <c r="N16" s="74">
        <f t="shared" si="2"/>
        <v>-910629.62590666697</v>
      </c>
      <c r="O16" s="74">
        <f t="shared" si="2"/>
        <v>-763572.33075466659</v>
      </c>
      <c r="P16" s="74">
        <f t="shared" si="2"/>
        <v>-712988.35452554701</v>
      </c>
      <c r="Q16" s="74">
        <f t="shared" si="2"/>
        <v>-34278.565851056017</v>
      </c>
      <c r="R16" s="74">
        <f t="shared" si="2"/>
        <v>1424143.0895287327</v>
      </c>
      <c r="S16" s="74">
        <f t="shared" si="2"/>
        <v>-1371685.0097655207</v>
      </c>
      <c r="T16" s="74">
        <f t="shared" si="2"/>
        <v>427184.08073137479</v>
      </c>
      <c r="U16" s="74">
        <f t="shared" si="2"/>
        <v>654068.322927651</v>
      </c>
      <c r="V16" s="74">
        <f t="shared" si="2"/>
        <v>1009251.2850131799</v>
      </c>
      <c r="W16" s="74">
        <f t="shared" si="2"/>
        <v>971763.16501581529</v>
      </c>
      <c r="X16" s="74">
        <f t="shared" si="2"/>
        <v>1280720.2014689804</v>
      </c>
      <c r="Y16" s="74">
        <f t="shared" si="2"/>
        <v>2717661.290562775</v>
      </c>
      <c r="Z16" s="74">
        <f t="shared" si="2"/>
        <v>2826838.9159253309</v>
      </c>
      <c r="AA16" s="74">
        <f t="shared" si="2"/>
        <v>-858813.09557824885</v>
      </c>
      <c r="AB16" s="74">
        <f t="shared" si="2"/>
        <v>3239799.7548283106</v>
      </c>
      <c r="AC16" s="74">
        <f t="shared" si="2"/>
        <v>3235762.7167538218</v>
      </c>
      <c r="AD16" s="74">
        <f t="shared" si="2"/>
        <v>2467977.967704583</v>
      </c>
      <c r="AE16" s="74">
        <f t="shared" si="2"/>
        <v>4227399.0907455022</v>
      </c>
      <c r="AF16" s="74">
        <f t="shared" si="2"/>
        <v>4993815.5042446032</v>
      </c>
      <c r="AG16" s="74">
        <f t="shared" si="2"/>
        <v>4409632.9180710223</v>
      </c>
      <c r="AH16" s="74">
        <f t="shared" si="2"/>
        <v>6412483.9699502243</v>
      </c>
      <c r="AI16" s="74">
        <f t="shared" si="2"/>
        <v>7224691.9175802739</v>
      </c>
      <c r="AJ16" s="74">
        <f t="shared" si="2"/>
        <v>8281478.4239363205</v>
      </c>
      <c r="AK16" s="74">
        <f t="shared" si="2"/>
        <v>7597873.8734835871</v>
      </c>
      <c r="AL16" s="74">
        <f t="shared" si="2"/>
        <v>10801401.891395306</v>
      </c>
      <c r="AM16" s="74">
        <f t="shared" si="2"/>
        <v>-6593755.7993858596</v>
      </c>
      <c r="AN16" s="74"/>
      <c r="AO16" s="74">
        <f t="shared" ref="AO16:AP16" si="3">SUM(AO9:AO14)</f>
        <v>2120656.6948045045</v>
      </c>
      <c r="AP16" s="74">
        <f t="shared" si="3"/>
        <v>4439070.2386088371</v>
      </c>
    </row>
    <row r="17" spans="1:42" ht="14.45">
      <c r="A17" s="4"/>
      <c r="B17" s="4"/>
    </row>
    <row r="18" spans="1:42" ht="14.45">
      <c r="A18" s="4" t="s">
        <v>52</v>
      </c>
      <c r="B18" s="4"/>
      <c r="D18" s="62">
        <f>'Detailed BS'!D16</f>
        <v>0</v>
      </c>
      <c r="E18" s="62">
        <f>'Detailed BS'!E16</f>
        <v>0</v>
      </c>
      <c r="F18" s="62">
        <f>'Detailed BS'!F16</f>
        <v>0</v>
      </c>
      <c r="G18" s="62">
        <f>'Detailed BS'!G16</f>
        <v>0</v>
      </c>
      <c r="H18" s="62">
        <f>'Detailed BS'!H16</f>
        <v>0</v>
      </c>
      <c r="I18" s="62">
        <f>'Detailed BS'!I16</f>
        <v>0</v>
      </c>
      <c r="J18" s="62">
        <f>'Detailed BS'!J16</f>
        <v>0</v>
      </c>
      <c r="K18" s="62">
        <f>'Detailed BS'!K16</f>
        <v>0</v>
      </c>
      <c r="L18" s="62">
        <f>'Detailed BS'!L16</f>
        <v>0</v>
      </c>
      <c r="M18" s="62">
        <f>'Detailed BS'!M16</f>
        <v>0</v>
      </c>
      <c r="N18" s="62">
        <f>'Detailed BS'!N16</f>
        <v>0</v>
      </c>
      <c r="O18" s="62">
        <f>'Detailed BS'!O16</f>
        <v>0</v>
      </c>
      <c r="P18" s="62">
        <f>'Detailed BS'!P16</f>
        <v>0</v>
      </c>
      <c r="Q18" s="62">
        <f>'Detailed BS'!Q16</f>
        <v>0</v>
      </c>
      <c r="R18" s="62">
        <f>'Detailed BS'!R16</f>
        <v>0</v>
      </c>
      <c r="S18" s="62">
        <f>'Detailed BS'!S16</f>
        <v>0</v>
      </c>
      <c r="T18" s="62">
        <f>'Detailed BS'!T16</f>
        <v>0</v>
      </c>
      <c r="U18" s="62">
        <f>'Detailed BS'!U16</f>
        <v>0</v>
      </c>
      <c r="V18" s="62">
        <f>'Detailed BS'!V16</f>
        <v>0</v>
      </c>
      <c r="W18" s="62">
        <f>'Detailed BS'!W16</f>
        <v>0</v>
      </c>
      <c r="X18" s="62">
        <f>'Detailed BS'!X16</f>
        <v>0</v>
      </c>
      <c r="Y18" s="62">
        <f>'Detailed BS'!Y16</f>
        <v>0</v>
      </c>
      <c r="Z18" s="62">
        <f>'Detailed BS'!Z16</f>
        <v>0</v>
      </c>
      <c r="AA18" s="62">
        <f>'Detailed BS'!AA16</f>
        <v>0</v>
      </c>
      <c r="AB18" s="62">
        <f>'Detailed BS'!AB16</f>
        <v>0</v>
      </c>
      <c r="AC18" s="62">
        <f>'Detailed BS'!AC16</f>
        <v>0</v>
      </c>
      <c r="AD18" s="62">
        <f>'Detailed BS'!AD16</f>
        <v>0</v>
      </c>
      <c r="AE18" s="62">
        <f>'Detailed BS'!AE16</f>
        <v>0</v>
      </c>
      <c r="AF18" s="62">
        <f>'Detailed BS'!AF16</f>
        <v>0</v>
      </c>
      <c r="AG18" s="62">
        <f>'Detailed BS'!AG16</f>
        <v>0</v>
      </c>
      <c r="AH18" s="62">
        <f>'Detailed BS'!AH16</f>
        <v>0</v>
      </c>
      <c r="AI18" s="62">
        <f>'Detailed BS'!AI16</f>
        <v>0</v>
      </c>
      <c r="AJ18" s="62">
        <f>'Detailed BS'!AJ16</f>
        <v>0</v>
      </c>
      <c r="AK18" s="62">
        <f>'Detailed BS'!AK16</f>
        <v>0</v>
      </c>
      <c r="AL18" s="62">
        <f>'Detailed BS'!AL16</f>
        <v>0</v>
      </c>
      <c r="AM18" s="62">
        <f>'Detailed BS'!AM16</f>
        <v>0</v>
      </c>
      <c r="AO18" s="62">
        <f>'Detailed BS'!AO16</f>
        <v>0</v>
      </c>
      <c r="AP18" s="62">
        <f>'Detailed BS'!AP16</f>
        <v>0</v>
      </c>
    </row>
    <row r="19" spans="1:42" ht="14.45">
      <c r="A19" s="4"/>
      <c r="B19" s="4"/>
    </row>
    <row r="20" spans="1:42" ht="14.45">
      <c r="A20" s="4" t="s">
        <v>53</v>
      </c>
      <c r="B20" s="4"/>
    </row>
    <row r="21" spans="1:42" ht="14.45">
      <c r="A21" s="4"/>
      <c r="B21" s="4"/>
    </row>
    <row r="22" spans="1:42" ht="14.45">
      <c r="A22" s="4" t="s">
        <v>54</v>
      </c>
      <c r="B22" s="4" t="s">
        <v>65</v>
      </c>
      <c r="D22" s="73">
        <f>CAPEX!F24</f>
        <v>970000</v>
      </c>
      <c r="E22" s="73">
        <f>CAPEX!G24</f>
        <v>480000</v>
      </c>
      <c r="F22" s="73">
        <f>CAPEX!H24</f>
        <v>480000</v>
      </c>
      <c r="G22" s="73">
        <f>CAPEX!I24</f>
        <v>680000</v>
      </c>
      <c r="H22" s="73">
        <f>CAPEX!J24</f>
        <v>480000</v>
      </c>
      <c r="I22" s="73">
        <f>CAPEX!K24</f>
        <v>480000</v>
      </c>
      <c r="J22" s="73">
        <f>CAPEX!L24</f>
        <v>480000</v>
      </c>
      <c r="K22" s="73">
        <f>CAPEX!M24</f>
        <v>990000</v>
      </c>
      <c r="L22" s="73">
        <f>CAPEX!N24</f>
        <v>780000</v>
      </c>
      <c r="M22" s="73">
        <f>CAPEX!O24</f>
        <v>780000</v>
      </c>
      <c r="N22" s="73">
        <f>CAPEX!P24</f>
        <v>780000</v>
      </c>
      <c r="O22" s="73">
        <f>CAPEX!Q24</f>
        <v>780000</v>
      </c>
      <c r="P22" s="73">
        <f>CAPEX!R24</f>
        <v>858000</v>
      </c>
      <c r="Q22" s="73">
        <f>CAPEX!S24</f>
        <v>858000</v>
      </c>
      <c r="R22" s="73">
        <f>CAPEX!T24</f>
        <v>858000</v>
      </c>
      <c r="S22" s="73">
        <f>CAPEX!U24</f>
        <v>858000</v>
      </c>
      <c r="T22" s="73">
        <f>CAPEX!V24</f>
        <v>858000</v>
      </c>
      <c r="U22" s="73">
        <f>CAPEX!W24</f>
        <v>858000</v>
      </c>
      <c r="V22" s="73">
        <f>CAPEX!X24</f>
        <v>858000</v>
      </c>
      <c r="W22" s="73">
        <f>CAPEX!Y24</f>
        <v>858000</v>
      </c>
      <c r="X22" s="73">
        <f>CAPEX!Z24</f>
        <v>858000</v>
      </c>
      <c r="Y22" s="73">
        <f>CAPEX!AA24</f>
        <v>858000</v>
      </c>
      <c r="Z22" s="73">
        <f>CAPEX!AB24</f>
        <v>858000</v>
      </c>
      <c r="AA22" s="73">
        <f>CAPEX!AC24</f>
        <v>858000</v>
      </c>
      <c r="AB22" s="73">
        <f>CAPEX!AD24</f>
        <v>943800.00000000012</v>
      </c>
      <c r="AC22" s="73">
        <f>CAPEX!AE24</f>
        <v>943800.00000000012</v>
      </c>
      <c r="AD22" s="73">
        <f>CAPEX!AF24</f>
        <v>943800.00000000012</v>
      </c>
      <c r="AE22" s="73">
        <f>CAPEX!AG24</f>
        <v>943800.00000000012</v>
      </c>
      <c r="AF22" s="73">
        <f>CAPEX!AH24</f>
        <v>943800.00000000012</v>
      </c>
      <c r="AG22" s="73">
        <f>CAPEX!AI24</f>
        <v>943800.00000000012</v>
      </c>
      <c r="AH22" s="73">
        <f>CAPEX!AJ24</f>
        <v>943800.00000000012</v>
      </c>
      <c r="AI22" s="73">
        <f>CAPEX!AK24</f>
        <v>943800.00000000012</v>
      </c>
      <c r="AJ22" s="73">
        <f>CAPEX!AL24</f>
        <v>943800.00000000012</v>
      </c>
      <c r="AK22" s="73">
        <f>CAPEX!AM24</f>
        <v>943800.00000000012</v>
      </c>
      <c r="AL22" s="73">
        <f>CAPEX!AN24</f>
        <v>943800.00000000012</v>
      </c>
      <c r="AM22" s="73">
        <f>CAPEX!AO24</f>
        <v>943800.00000000012</v>
      </c>
      <c r="AO22" s="78">
        <f>CAPEX!AQ24-CAPEX!AO32</f>
        <v>-2440040</v>
      </c>
      <c r="AP22" s="73">
        <f>CAPEX!AR24</f>
        <v>13703976.000000002</v>
      </c>
    </row>
    <row r="23" spans="1:42" ht="14.45">
      <c r="A23" s="4"/>
      <c r="B23" s="4"/>
    </row>
    <row r="24" spans="1:42" ht="14.45">
      <c r="A24" s="4" t="s">
        <v>55</v>
      </c>
      <c r="B24" s="4"/>
    </row>
    <row r="25" spans="1:42" ht="14.45">
      <c r="A25" s="4"/>
      <c r="B25" s="4"/>
    </row>
    <row r="26" spans="1:42" ht="14.45">
      <c r="A26" s="4" t="s">
        <v>56</v>
      </c>
      <c r="B26" s="4"/>
      <c r="E26" s="74">
        <f t="shared" ref="E26:AM26" si="4">D28</f>
        <v>-970015</v>
      </c>
      <c r="F26" s="74">
        <f t="shared" si="4"/>
        <v>-2317893.4899999998</v>
      </c>
      <c r="G26" s="74">
        <f t="shared" si="4"/>
        <v>-3524516.28</v>
      </c>
      <c r="H26" s="74">
        <f t="shared" si="4"/>
        <v>-4913835.7050000001</v>
      </c>
      <c r="I26" s="74">
        <f t="shared" si="4"/>
        <v>-6903559.2249999996</v>
      </c>
      <c r="J26" s="74">
        <f t="shared" si="4"/>
        <v>-7580826.2999999998</v>
      </c>
      <c r="K26" s="74">
        <f t="shared" si="4"/>
        <v>-9947506.793333333</v>
      </c>
      <c r="L26" s="74">
        <f t="shared" si="4"/>
        <v>-11606323.796666667</v>
      </c>
      <c r="M26" s="74">
        <f t="shared" si="4"/>
        <v>-13454208.899333334</v>
      </c>
      <c r="N26" s="74">
        <f t="shared" si="4"/>
        <v>-16458944.2762</v>
      </c>
      <c r="O26" s="74">
        <f t="shared" si="4"/>
        <v>-18149573.902106669</v>
      </c>
      <c r="P26" s="74">
        <f t="shared" si="4"/>
        <v>-19693146.232861336</v>
      </c>
      <c r="Q26" s="74">
        <f t="shared" si="4"/>
        <v>-21264134.587386884</v>
      </c>
      <c r="R26" s="74">
        <f t="shared" si="4"/>
        <v>-22156413.153237939</v>
      </c>
      <c r="S26" s="74">
        <f t="shared" si="4"/>
        <v>-21590270.063709207</v>
      </c>
      <c r="T26" s="74">
        <f t="shared" si="4"/>
        <v>-23819955.073474728</v>
      </c>
      <c r="U26" s="74">
        <f t="shared" si="4"/>
        <v>-24250770.992743354</v>
      </c>
      <c r="V26" s="74">
        <f t="shared" si="4"/>
        <v>-24454702.669815704</v>
      </c>
      <c r="W26" s="74">
        <f t="shared" si="4"/>
        <v>-24303451.384802524</v>
      </c>
      <c r="X26" s="74">
        <f t="shared" si="4"/>
        <v>-24189688.219786707</v>
      </c>
      <c r="Y26" s="74">
        <f t="shared" si="4"/>
        <v>-23766968.018317726</v>
      </c>
      <c r="Z26" s="74">
        <f t="shared" si="4"/>
        <v>-21907306.727754951</v>
      </c>
      <c r="AA26" s="74">
        <f t="shared" si="4"/>
        <v>-19938467.811829619</v>
      </c>
      <c r="AB26" s="74">
        <f t="shared" si="4"/>
        <v>-21655280.907407869</v>
      </c>
      <c r="AC26" s="74">
        <f t="shared" si="4"/>
        <v>-19359281.152579557</v>
      </c>
      <c r="AD26" s="74">
        <f t="shared" si="4"/>
        <v>-17067318.435825735</v>
      </c>
      <c r="AE26" s="74">
        <f t="shared" si="4"/>
        <v>-15543140.468121152</v>
      </c>
      <c r="AF26" s="74">
        <f t="shared" si="4"/>
        <v>-12259541.377375651</v>
      </c>
      <c r="AG26" s="74">
        <f t="shared" si="4"/>
        <v>-8209525.8731310479</v>
      </c>
      <c r="AH26" s="74">
        <f t="shared" si="4"/>
        <v>-4743692.9550600257</v>
      </c>
      <c r="AI26" s="74">
        <f t="shared" si="4"/>
        <v>724991.0148901986</v>
      </c>
      <c r="AJ26" s="74">
        <f t="shared" si="4"/>
        <v>7005882.9324704725</v>
      </c>
      <c r="AK26" s="74">
        <f t="shared" si="4"/>
        <v>14343561.356406793</v>
      </c>
      <c r="AL26" s="74">
        <f t="shared" si="4"/>
        <v>20997635.22989038</v>
      </c>
      <c r="AM26" s="74">
        <f t="shared" si="4"/>
        <v>30855237.121285684</v>
      </c>
      <c r="AO26" s="74">
        <f>AM28</f>
        <v>23317681.321899824</v>
      </c>
      <c r="AP26" s="74">
        <f>AO28</f>
        <v>27878378.016704328</v>
      </c>
    </row>
    <row r="27" spans="1:42" ht="14.45">
      <c r="A27" s="4" t="s">
        <v>57</v>
      </c>
      <c r="B27" s="4"/>
      <c r="D27" s="74">
        <f t="shared" ref="D27:AM27" si="5">D16+D18-D22</f>
        <v>-970015</v>
      </c>
      <c r="E27" s="74">
        <f t="shared" si="5"/>
        <v>-1347878.4899999998</v>
      </c>
      <c r="F27" s="74">
        <f t="shared" si="5"/>
        <v>-1206622.79</v>
      </c>
      <c r="G27" s="74">
        <f t="shared" si="5"/>
        <v>-1389319.4250000003</v>
      </c>
      <c r="H27" s="74">
        <f t="shared" si="5"/>
        <v>-1989723.52</v>
      </c>
      <c r="I27" s="74">
        <f t="shared" si="5"/>
        <v>-677267.07500000019</v>
      </c>
      <c r="J27" s="74">
        <f t="shared" si="5"/>
        <v>-2366680.4933333336</v>
      </c>
      <c r="K27" s="74">
        <f t="shared" si="5"/>
        <v>-1658817.0033333332</v>
      </c>
      <c r="L27" s="74">
        <f t="shared" si="5"/>
        <v>-1847885.1026666672</v>
      </c>
      <c r="M27" s="74">
        <f t="shared" si="5"/>
        <v>-3004735.3768666666</v>
      </c>
      <c r="N27" s="74">
        <f t="shared" si="5"/>
        <v>-1690629.625906667</v>
      </c>
      <c r="O27" s="74">
        <f t="shared" si="5"/>
        <v>-1543572.3307546666</v>
      </c>
      <c r="P27" s="74">
        <f t="shared" si="5"/>
        <v>-1570988.354525547</v>
      </c>
      <c r="Q27" s="74">
        <f t="shared" si="5"/>
        <v>-892278.56585105602</v>
      </c>
      <c r="R27" s="74">
        <f t="shared" si="5"/>
        <v>566143.0895287327</v>
      </c>
      <c r="S27" s="74">
        <f t="shared" si="5"/>
        <v>-2229685.0097655207</v>
      </c>
      <c r="T27" s="74">
        <f t="shared" si="5"/>
        <v>-430815.91926862521</v>
      </c>
      <c r="U27" s="74">
        <f t="shared" si="5"/>
        <v>-203931.677072349</v>
      </c>
      <c r="V27" s="74">
        <f t="shared" si="5"/>
        <v>151251.28501317988</v>
      </c>
      <c r="W27" s="74">
        <f t="shared" si="5"/>
        <v>113763.16501581529</v>
      </c>
      <c r="X27" s="74">
        <f t="shared" si="5"/>
        <v>422720.20146898041</v>
      </c>
      <c r="Y27" s="74">
        <f t="shared" si="5"/>
        <v>1859661.290562775</v>
      </c>
      <c r="Z27" s="74">
        <f t="shared" si="5"/>
        <v>1968838.9159253309</v>
      </c>
      <c r="AA27" s="74">
        <f t="shared" si="5"/>
        <v>-1716813.0955782488</v>
      </c>
      <c r="AB27" s="74">
        <f t="shared" si="5"/>
        <v>2295999.7548283106</v>
      </c>
      <c r="AC27" s="74">
        <f t="shared" si="5"/>
        <v>2291962.7167538218</v>
      </c>
      <c r="AD27" s="74">
        <f t="shared" si="5"/>
        <v>1524177.967704583</v>
      </c>
      <c r="AE27" s="74">
        <f t="shared" si="5"/>
        <v>3283599.0907455022</v>
      </c>
      <c r="AF27" s="74">
        <f t="shared" si="5"/>
        <v>4050015.5042446032</v>
      </c>
      <c r="AG27" s="74">
        <f t="shared" si="5"/>
        <v>3465832.9180710223</v>
      </c>
      <c r="AH27" s="74">
        <f t="shared" si="5"/>
        <v>5468683.9699502243</v>
      </c>
      <c r="AI27" s="74">
        <f t="shared" si="5"/>
        <v>6280891.9175802739</v>
      </c>
      <c r="AJ27" s="74">
        <f t="shared" si="5"/>
        <v>7337678.4239363205</v>
      </c>
      <c r="AK27" s="74">
        <f t="shared" si="5"/>
        <v>6654073.8734835871</v>
      </c>
      <c r="AL27" s="74">
        <f t="shared" si="5"/>
        <v>9857601.8913953062</v>
      </c>
      <c r="AM27" s="74">
        <f t="shared" si="5"/>
        <v>-7537555.7993858596</v>
      </c>
      <c r="AO27" s="74">
        <f>AO16+AO18-AO22</f>
        <v>4560696.6948045045</v>
      </c>
      <c r="AP27" s="74">
        <f t="shared" ref="AP27" si="6">AP16+AP18-AP22</f>
        <v>-9264905.7613911647</v>
      </c>
    </row>
    <row r="28" spans="1:42" ht="14.45">
      <c r="A28" s="4" t="s">
        <v>58</v>
      </c>
      <c r="B28" s="4"/>
      <c r="D28" s="74">
        <f t="shared" ref="D28:AM28" si="7">SUM(D26:D27)</f>
        <v>-970015</v>
      </c>
      <c r="E28" s="74">
        <f t="shared" si="7"/>
        <v>-2317893.4899999998</v>
      </c>
      <c r="F28" s="74">
        <f t="shared" si="7"/>
        <v>-3524516.28</v>
      </c>
      <c r="G28" s="74">
        <f t="shared" si="7"/>
        <v>-4913835.7050000001</v>
      </c>
      <c r="H28" s="74">
        <f t="shared" si="7"/>
        <v>-6903559.2249999996</v>
      </c>
      <c r="I28" s="74">
        <f t="shared" si="7"/>
        <v>-7580826.2999999998</v>
      </c>
      <c r="J28" s="74">
        <f t="shared" si="7"/>
        <v>-9947506.793333333</v>
      </c>
      <c r="K28" s="74">
        <f t="shared" si="7"/>
        <v>-11606323.796666667</v>
      </c>
      <c r="L28" s="74">
        <f t="shared" si="7"/>
        <v>-13454208.899333334</v>
      </c>
      <c r="M28" s="74">
        <f t="shared" si="7"/>
        <v>-16458944.2762</v>
      </c>
      <c r="N28" s="74">
        <f t="shared" si="7"/>
        <v>-18149573.902106669</v>
      </c>
      <c r="O28" s="74">
        <f t="shared" si="7"/>
        <v>-19693146.232861336</v>
      </c>
      <c r="P28" s="74">
        <f t="shared" si="7"/>
        <v>-21264134.587386884</v>
      </c>
      <c r="Q28" s="74">
        <f t="shared" si="7"/>
        <v>-22156413.153237939</v>
      </c>
      <c r="R28" s="74">
        <f t="shared" si="7"/>
        <v>-21590270.063709207</v>
      </c>
      <c r="S28" s="74">
        <f t="shared" si="7"/>
        <v>-23819955.073474728</v>
      </c>
      <c r="T28" s="74">
        <f t="shared" si="7"/>
        <v>-24250770.992743354</v>
      </c>
      <c r="U28" s="74">
        <f t="shared" si="7"/>
        <v>-24454702.669815704</v>
      </c>
      <c r="V28" s="74">
        <f t="shared" si="7"/>
        <v>-24303451.384802524</v>
      </c>
      <c r="W28" s="74">
        <f t="shared" si="7"/>
        <v>-24189688.219786707</v>
      </c>
      <c r="X28" s="74">
        <f t="shared" si="7"/>
        <v>-23766968.018317726</v>
      </c>
      <c r="Y28" s="74">
        <f t="shared" si="7"/>
        <v>-21907306.727754951</v>
      </c>
      <c r="Z28" s="74">
        <f t="shared" si="7"/>
        <v>-19938467.811829619</v>
      </c>
      <c r="AA28" s="74">
        <f t="shared" si="7"/>
        <v>-21655280.907407869</v>
      </c>
      <c r="AB28" s="74">
        <f t="shared" si="7"/>
        <v>-19359281.152579557</v>
      </c>
      <c r="AC28" s="74">
        <f t="shared" si="7"/>
        <v>-17067318.435825735</v>
      </c>
      <c r="AD28" s="74">
        <f t="shared" si="7"/>
        <v>-15543140.468121152</v>
      </c>
      <c r="AE28" s="74">
        <f t="shared" si="7"/>
        <v>-12259541.377375651</v>
      </c>
      <c r="AF28" s="74">
        <f t="shared" si="7"/>
        <v>-8209525.8731310479</v>
      </c>
      <c r="AG28" s="74">
        <f t="shared" si="7"/>
        <v>-4743692.9550600257</v>
      </c>
      <c r="AH28" s="74">
        <f t="shared" si="7"/>
        <v>724991.0148901986</v>
      </c>
      <c r="AI28" s="74">
        <f t="shared" si="7"/>
        <v>7005882.9324704725</v>
      </c>
      <c r="AJ28" s="74">
        <f t="shared" si="7"/>
        <v>14343561.356406793</v>
      </c>
      <c r="AK28" s="74">
        <f t="shared" si="7"/>
        <v>20997635.22989038</v>
      </c>
      <c r="AL28" s="74">
        <f t="shared" si="7"/>
        <v>30855237.121285684</v>
      </c>
      <c r="AM28" s="74">
        <f t="shared" si="7"/>
        <v>23317681.321899824</v>
      </c>
      <c r="AO28" s="74">
        <f>SUM(AO26:AO27)</f>
        <v>27878378.016704328</v>
      </c>
      <c r="AP28" s="74">
        <f t="shared" ref="AP28" si="8">SUM(AP26:AP27)</f>
        <v>18613472.255313165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1001"/>
  <sheetViews>
    <sheetView showGridLines="0" topLeftCell="A17" zoomScale="125" zoomScaleNormal="125" workbookViewId="0">
      <pane xSplit="4" topLeftCell="E1" activePane="topRight" state="frozen"/>
      <selection pane="topRight" activeCell="E8" sqref="E8"/>
    </sheetView>
  </sheetViews>
  <sheetFormatPr defaultColWidth="14.42578125" defaultRowHeight="15" customHeight="1"/>
  <cols>
    <col min="1" max="1" width="27.5703125" customWidth="1"/>
    <col min="2" max="2" width="12.42578125" customWidth="1"/>
    <col min="3" max="3" width="12.85546875" customWidth="1"/>
    <col min="4" max="4" width="13.5703125" customWidth="1"/>
    <col min="5" max="5" width="11.85546875" bestFit="1" customWidth="1"/>
    <col min="6" max="6" width="13.42578125" bestFit="1" customWidth="1"/>
    <col min="7" max="31" width="10.85546875" customWidth="1"/>
    <col min="32" max="40" width="11.85546875" customWidth="1"/>
    <col min="41" max="41" width="4.5703125" customWidth="1"/>
    <col min="42" max="42" width="10.85546875" customWidth="1"/>
    <col min="43" max="43" width="11.85546875" customWidth="1"/>
    <col min="44" max="44" width="4.42578125" customWidth="1"/>
    <col min="45" max="45" width="11.85546875" bestFit="1" customWidth="1"/>
    <col min="46" max="46" width="13.42578125" bestFit="1" customWidth="1"/>
    <col min="47" max="47" width="14.85546875" customWidth="1"/>
    <col min="48" max="49" width="14.42578125" customWidth="1"/>
    <col min="50" max="51" width="8.85546875" customWidth="1"/>
    <col min="52" max="54" width="9.85546875" customWidth="1"/>
  </cols>
  <sheetData>
    <row r="1" spans="1:54" ht="21">
      <c r="A1" s="1" t="s">
        <v>0</v>
      </c>
    </row>
    <row r="2" spans="1:54" ht="18.600000000000001">
      <c r="A2" s="2" t="s">
        <v>72</v>
      </c>
    </row>
    <row r="4" spans="1:54" ht="15.6">
      <c r="A4" s="5"/>
      <c r="B4" s="5"/>
      <c r="C4" s="5"/>
      <c r="D4" s="5"/>
      <c r="E4" s="79" t="s">
        <v>73</v>
      </c>
      <c r="F4" s="79" t="s">
        <v>74</v>
      </c>
      <c r="G4" s="79" t="s">
        <v>75</v>
      </c>
      <c r="H4" s="79" t="s">
        <v>76</v>
      </c>
      <c r="I4" s="79" t="s">
        <v>77</v>
      </c>
      <c r="J4" s="79" t="s">
        <v>78</v>
      </c>
      <c r="K4" s="79" t="s">
        <v>79</v>
      </c>
      <c r="L4" s="79" t="s">
        <v>80</v>
      </c>
      <c r="M4" s="79" t="s">
        <v>81</v>
      </c>
      <c r="N4" s="79" t="s">
        <v>82</v>
      </c>
      <c r="O4" s="79" t="s">
        <v>83</v>
      </c>
      <c r="P4" s="79" t="s">
        <v>84</v>
      </c>
      <c r="Q4" s="68">
        <v>45748</v>
      </c>
      <c r="R4" s="68">
        <v>45778</v>
      </c>
      <c r="S4" s="68">
        <v>45809</v>
      </c>
      <c r="T4" s="68">
        <v>45839</v>
      </c>
      <c r="U4" s="68">
        <v>45870</v>
      </c>
      <c r="V4" s="68">
        <v>45901</v>
      </c>
      <c r="W4" s="68">
        <v>45931</v>
      </c>
      <c r="X4" s="68">
        <v>45962</v>
      </c>
      <c r="Y4" s="68">
        <v>45992</v>
      </c>
      <c r="Z4" s="68">
        <v>46023</v>
      </c>
      <c r="AA4" s="68">
        <v>46054</v>
      </c>
      <c r="AB4" s="68">
        <v>46082</v>
      </c>
      <c r="AC4" s="68">
        <v>46113</v>
      </c>
      <c r="AD4" s="68">
        <v>46143</v>
      </c>
      <c r="AE4" s="68">
        <v>46174</v>
      </c>
      <c r="AF4" s="68">
        <v>46204</v>
      </c>
      <c r="AG4" s="68">
        <v>46235</v>
      </c>
      <c r="AH4" s="68">
        <v>46266</v>
      </c>
      <c r="AI4" s="68">
        <v>46296</v>
      </c>
      <c r="AJ4" s="68">
        <v>46327</v>
      </c>
      <c r="AK4" s="68">
        <v>46357</v>
      </c>
      <c r="AL4" s="68">
        <v>46388</v>
      </c>
      <c r="AM4" s="68">
        <v>46419</v>
      </c>
      <c r="AN4" s="68">
        <v>46447</v>
      </c>
      <c r="AO4" s="5"/>
      <c r="AP4" s="5"/>
      <c r="AQ4" s="5"/>
      <c r="AR4" s="5"/>
      <c r="AS4" s="68" t="s">
        <v>7</v>
      </c>
      <c r="AT4" s="68" t="s">
        <v>8</v>
      </c>
      <c r="AU4" s="5"/>
      <c r="AV4" s="5"/>
      <c r="AW4" s="5"/>
      <c r="AX4" s="5"/>
      <c r="AY4" s="5"/>
      <c r="AZ4" s="5"/>
      <c r="BA4" s="5"/>
      <c r="BB4" s="5"/>
    </row>
    <row r="5" spans="1:54" ht="14.45">
      <c r="A5" s="5" t="s">
        <v>10</v>
      </c>
    </row>
    <row r="6" spans="1:54" ht="14.45">
      <c r="A6" s="5" t="s">
        <v>85</v>
      </c>
      <c r="B6" s="7"/>
      <c r="C6" s="7"/>
      <c r="E6" s="7"/>
      <c r="F6" s="7"/>
      <c r="G6" s="7"/>
      <c r="H6" s="7"/>
    </row>
    <row r="7" spans="1:54" ht="14.45">
      <c r="A7" s="62" t="s">
        <v>86</v>
      </c>
      <c r="C7" s="17">
        <v>0.05</v>
      </c>
      <c r="D7" s="62" t="s">
        <v>87</v>
      </c>
      <c r="E7" s="62">
        <v>1</v>
      </c>
      <c r="F7" s="62">
        <v>1</v>
      </c>
      <c r="G7" s="62">
        <v>1</v>
      </c>
      <c r="H7" s="62">
        <v>1</v>
      </c>
      <c r="I7" s="62">
        <v>2</v>
      </c>
      <c r="J7" s="62">
        <v>1</v>
      </c>
      <c r="K7" s="62">
        <v>2</v>
      </c>
      <c r="L7" s="62">
        <v>2</v>
      </c>
      <c r="M7" s="62">
        <v>1</v>
      </c>
      <c r="N7" s="62">
        <v>2</v>
      </c>
      <c r="O7" s="62">
        <v>2</v>
      </c>
      <c r="P7" s="62">
        <v>2</v>
      </c>
      <c r="Q7" s="62">
        <v>2</v>
      </c>
      <c r="R7" s="62">
        <v>3</v>
      </c>
      <c r="S7" s="62">
        <v>1</v>
      </c>
      <c r="T7" s="62">
        <v>2</v>
      </c>
      <c r="U7" s="62">
        <v>2</v>
      </c>
      <c r="V7" s="62">
        <v>2</v>
      </c>
      <c r="W7" s="62">
        <v>2</v>
      </c>
      <c r="X7" s="62">
        <v>2</v>
      </c>
      <c r="Y7" s="62">
        <v>3</v>
      </c>
      <c r="Z7" s="62">
        <v>3</v>
      </c>
      <c r="AA7" s="62">
        <v>2</v>
      </c>
      <c r="AB7" s="62">
        <v>3</v>
      </c>
      <c r="AC7" s="62">
        <v>3</v>
      </c>
      <c r="AD7" s="62">
        <v>2</v>
      </c>
      <c r="AE7" s="62">
        <v>3</v>
      </c>
      <c r="AF7" s="62">
        <v>3</v>
      </c>
      <c r="AG7" s="62">
        <v>2</v>
      </c>
      <c r="AH7" s="62">
        <v>3</v>
      </c>
      <c r="AI7" s="62">
        <v>3</v>
      </c>
      <c r="AJ7" s="62">
        <v>3</v>
      </c>
      <c r="AK7" s="62">
        <v>2</v>
      </c>
      <c r="AL7" s="62">
        <v>3</v>
      </c>
      <c r="AM7" s="62">
        <v>3</v>
      </c>
      <c r="AN7" s="62">
        <v>3</v>
      </c>
      <c r="AS7" s="62">
        <v>45</v>
      </c>
      <c r="AT7" s="62">
        <v>57</v>
      </c>
    </row>
    <row r="8" spans="1:54" ht="14.45">
      <c r="A8" s="62" t="s">
        <v>88</v>
      </c>
      <c r="C8" s="18">
        <v>0.15</v>
      </c>
      <c r="D8" s="62" t="s">
        <v>89</v>
      </c>
      <c r="E8" s="62">
        <v>0</v>
      </c>
      <c r="F8" s="62">
        <v>0</v>
      </c>
      <c r="G8" s="62">
        <v>0</v>
      </c>
      <c r="H8" s="62">
        <f t="shared" ref="H8" si="0">ROUNDUP($C$8*E7,0)</f>
        <v>1</v>
      </c>
      <c r="I8" s="62">
        <v>1</v>
      </c>
      <c r="J8" s="62">
        <v>1</v>
      </c>
      <c r="K8" s="62">
        <v>2</v>
      </c>
      <c r="L8" s="62">
        <v>2</v>
      </c>
      <c r="M8" s="62">
        <v>2</v>
      </c>
      <c r="N8" s="62">
        <v>3</v>
      </c>
      <c r="O8" s="62">
        <v>3</v>
      </c>
      <c r="P8" s="62">
        <v>3</v>
      </c>
      <c r="Q8" s="62">
        <v>3</v>
      </c>
      <c r="R8" s="62">
        <v>3</v>
      </c>
      <c r="S8" s="62">
        <v>3</v>
      </c>
      <c r="T8" s="62">
        <v>4</v>
      </c>
      <c r="U8" s="62">
        <v>4</v>
      </c>
      <c r="V8" s="62">
        <v>4</v>
      </c>
      <c r="W8" s="62">
        <v>5</v>
      </c>
      <c r="X8" s="62">
        <v>5</v>
      </c>
      <c r="Y8" s="62">
        <v>5</v>
      </c>
      <c r="Z8" s="62">
        <v>7</v>
      </c>
      <c r="AA8" s="62">
        <v>7</v>
      </c>
      <c r="AB8" s="62">
        <v>7</v>
      </c>
      <c r="AC8" s="62">
        <v>9</v>
      </c>
      <c r="AD8" s="62">
        <v>9</v>
      </c>
      <c r="AE8" s="62">
        <v>9</v>
      </c>
      <c r="AF8" s="62">
        <v>11</v>
      </c>
      <c r="AG8" s="62">
        <v>11</v>
      </c>
      <c r="AH8" s="62">
        <v>11</v>
      </c>
      <c r="AI8" s="62">
        <v>12</v>
      </c>
      <c r="AJ8" s="62">
        <v>12</v>
      </c>
      <c r="AK8" s="62">
        <v>12</v>
      </c>
      <c r="AL8" s="62">
        <v>14</v>
      </c>
      <c r="AM8" s="62">
        <v>14</v>
      </c>
      <c r="AN8" s="62">
        <v>14</v>
      </c>
      <c r="AS8" s="62">
        <v>16</v>
      </c>
      <c r="AT8" s="62">
        <v>23</v>
      </c>
    </row>
    <row r="9" spans="1:54" ht="14.45">
      <c r="A9" s="62" t="s">
        <v>90</v>
      </c>
      <c r="E9" s="62">
        <f t="shared" ref="E9:AN9" si="1">SUM(E7:E8)</f>
        <v>1</v>
      </c>
      <c r="F9" s="62">
        <f t="shared" si="1"/>
        <v>1</v>
      </c>
      <c r="G9" s="62">
        <f t="shared" si="1"/>
        <v>1</v>
      </c>
      <c r="H9" s="62">
        <f t="shared" si="1"/>
        <v>2</v>
      </c>
      <c r="I9" s="62">
        <f>SUM(I7:I8)</f>
        <v>3</v>
      </c>
      <c r="J9" s="62">
        <f>SUM(J7:J8)</f>
        <v>2</v>
      </c>
      <c r="K9" s="62">
        <f t="shared" si="1"/>
        <v>4</v>
      </c>
      <c r="L9" s="62">
        <f t="shared" si="1"/>
        <v>4</v>
      </c>
      <c r="M9" s="62">
        <f t="shared" si="1"/>
        <v>3</v>
      </c>
      <c r="N9" s="62">
        <f t="shared" si="1"/>
        <v>5</v>
      </c>
      <c r="O9" s="62">
        <f t="shared" si="1"/>
        <v>5</v>
      </c>
      <c r="P9" s="62">
        <f t="shared" si="1"/>
        <v>5</v>
      </c>
      <c r="Q9" s="62">
        <f t="shared" si="1"/>
        <v>5</v>
      </c>
      <c r="R9" s="62">
        <f t="shared" si="1"/>
        <v>6</v>
      </c>
      <c r="S9" s="62">
        <f t="shared" si="1"/>
        <v>4</v>
      </c>
      <c r="T9" s="62">
        <f t="shared" si="1"/>
        <v>6</v>
      </c>
      <c r="U9" s="62">
        <f t="shared" si="1"/>
        <v>6</v>
      </c>
      <c r="V9" s="62">
        <f t="shared" si="1"/>
        <v>6</v>
      </c>
      <c r="W9" s="62">
        <f t="shared" si="1"/>
        <v>7</v>
      </c>
      <c r="X9" s="62">
        <f t="shared" si="1"/>
        <v>7</v>
      </c>
      <c r="Y9" s="62">
        <f t="shared" si="1"/>
        <v>8</v>
      </c>
      <c r="Z9" s="62">
        <f t="shared" si="1"/>
        <v>10</v>
      </c>
      <c r="AA9" s="62">
        <f t="shared" si="1"/>
        <v>9</v>
      </c>
      <c r="AB9" s="62">
        <f t="shared" si="1"/>
        <v>10</v>
      </c>
      <c r="AC9" s="62">
        <f t="shared" si="1"/>
        <v>12</v>
      </c>
      <c r="AD9" s="62">
        <f t="shared" si="1"/>
        <v>11</v>
      </c>
      <c r="AE9" s="62">
        <f t="shared" si="1"/>
        <v>12</v>
      </c>
      <c r="AF9" s="62">
        <f t="shared" si="1"/>
        <v>14</v>
      </c>
      <c r="AG9" s="62">
        <f t="shared" si="1"/>
        <v>13</v>
      </c>
      <c r="AH9" s="62">
        <f t="shared" si="1"/>
        <v>14</v>
      </c>
      <c r="AI9" s="62">
        <f t="shared" si="1"/>
        <v>15</v>
      </c>
      <c r="AJ9" s="62">
        <f t="shared" si="1"/>
        <v>15</v>
      </c>
      <c r="AK9" s="62">
        <f t="shared" si="1"/>
        <v>14</v>
      </c>
      <c r="AL9" s="62">
        <f t="shared" si="1"/>
        <v>17</v>
      </c>
      <c r="AM9" s="62">
        <f t="shared" si="1"/>
        <v>17</v>
      </c>
      <c r="AN9" s="62">
        <f t="shared" si="1"/>
        <v>17</v>
      </c>
      <c r="AS9" s="62">
        <f t="shared" ref="AS9:AT9" si="2">SUM(AS7:AS8)</f>
        <v>61</v>
      </c>
      <c r="AT9" s="62">
        <f t="shared" si="2"/>
        <v>80</v>
      </c>
    </row>
    <row r="10" spans="1:54" ht="14.45">
      <c r="B10" s="7"/>
    </row>
    <row r="11" spans="1:54" ht="14.45">
      <c r="B11" s="80" t="s">
        <v>4</v>
      </c>
      <c r="C11" s="80" t="s">
        <v>5</v>
      </c>
      <c r="D11" s="80" t="s">
        <v>6</v>
      </c>
      <c r="AP11" s="80" t="s">
        <v>7</v>
      </c>
      <c r="AQ11" s="80" t="s">
        <v>8</v>
      </c>
    </row>
    <row r="12" spans="1:54" ht="14.45">
      <c r="A12" s="62" t="s">
        <v>91</v>
      </c>
      <c r="B12" s="19">
        <v>1500000</v>
      </c>
      <c r="C12" s="19">
        <f t="shared" ref="C12:D12" si="3">B12*1.05</f>
        <v>1575000</v>
      </c>
      <c r="D12" s="19">
        <f t="shared" si="3"/>
        <v>1653750</v>
      </c>
      <c r="E12" s="7">
        <f t="shared" ref="E12:P12" si="4">$B$12*E7</f>
        <v>1500000</v>
      </c>
      <c r="F12" s="7">
        <f t="shared" si="4"/>
        <v>1500000</v>
      </c>
      <c r="G12" s="7">
        <f t="shared" si="4"/>
        <v>1500000</v>
      </c>
      <c r="H12" s="7">
        <f t="shared" si="4"/>
        <v>1500000</v>
      </c>
      <c r="I12" s="7">
        <f t="shared" si="4"/>
        <v>3000000</v>
      </c>
      <c r="J12" s="7">
        <f t="shared" si="4"/>
        <v>1500000</v>
      </c>
      <c r="K12" s="7">
        <f t="shared" si="4"/>
        <v>3000000</v>
      </c>
      <c r="L12" s="7">
        <f t="shared" si="4"/>
        <v>3000000</v>
      </c>
      <c r="M12" s="7">
        <f t="shared" si="4"/>
        <v>1500000</v>
      </c>
      <c r="N12" s="7">
        <f t="shared" si="4"/>
        <v>3000000</v>
      </c>
      <c r="O12" s="7">
        <f t="shared" si="4"/>
        <v>3000000</v>
      </c>
      <c r="P12" s="7">
        <f t="shared" si="4"/>
        <v>3000000</v>
      </c>
      <c r="Q12" s="7">
        <f t="shared" ref="Q12:AB12" si="5">$C$12*Q7</f>
        <v>3150000</v>
      </c>
      <c r="R12" s="7">
        <f t="shared" si="5"/>
        <v>4725000</v>
      </c>
      <c r="S12" s="7">
        <f t="shared" si="5"/>
        <v>1575000</v>
      </c>
      <c r="T12" s="7">
        <f t="shared" si="5"/>
        <v>3150000</v>
      </c>
      <c r="U12" s="7">
        <f t="shared" si="5"/>
        <v>3150000</v>
      </c>
      <c r="V12" s="7">
        <f t="shared" si="5"/>
        <v>3150000</v>
      </c>
      <c r="W12" s="7">
        <f t="shared" si="5"/>
        <v>3150000</v>
      </c>
      <c r="X12" s="7">
        <f t="shared" si="5"/>
        <v>3150000</v>
      </c>
      <c r="Y12" s="7">
        <f t="shared" si="5"/>
        <v>4725000</v>
      </c>
      <c r="Z12" s="7">
        <f t="shared" si="5"/>
        <v>4725000</v>
      </c>
      <c r="AA12" s="7">
        <f t="shared" si="5"/>
        <v>3150000</v>
      </c>
      <c r="AB12" s="7">
        <f t="shared" si="5"/>
        <v>4725000</v>
      </c>
      <c r="AC12" s="7">
        <f t="shared" ref="AC12:AN12" si="6">$D$12*AC7</f>
        <v>4961250</v>
      </c>
      <c r="AD12" s="7">
        <f t="shared" si="6"/>
        <v>3307500</v>
      </c>
      <c r="AE12" s="7">
        <f t="shared" si="6"/>
        <v>4961250</v>
      </c>
      <c r="AF12" s="7">
        <f t="shared" si="6"/>
        <v>4961250</v>
      </c>
      <c r="AG12" s="7">
        <f t="shared" si="6"/>
        <v>3307500</v>
      </c>
      <c r="AH12" s="7">
        <f t="shared" si="6"/>
        <v>4961250</v>
      </c>
      <c r="AI12" s="7">
        <f t="shared" si="6"/>
        <v>4961250</v>
      </c>
      <c r="AJ12" s="7">
        <f t="shared" si="6"/>
        <v>4961250</v>
      </c>
      <c r="AK12" s="7">
        <f t="shared" si="6"/>
        <v>3307500</v>
      </c>
      <c r="AL12" s="7">
        <f t="shared" si="6"/>
        <v>4961250</v>
      </c>
      <c r="AM12" s="7">
        <f t="shared" si="6"/>
        <v>4961250</v>
      </c>
      <c r="AN12" s="7">
        <f t="shared" si="6"/>
        <v>4961250</v>
      </c>
      <c r="AP12" s="19">
        <f>D12*1.05</f>
        <v>1736437.5</v>
      </c>
      <c r="AQ12" s="19">
        <f t="shared" ref="AQ12" si="7">AP12*1.05</f>
        <v>1823259.375</v>
      </c>
      <c r="AS12" s="7">
        <f t="shared" ref="AS12:AT12" si="8">AP12*AS7</f>
        <v>78139687.5</v>
      </c>
      <c r="AT12" s="7">
        <f t="shared" si="8"/>
        <v>103925784.375</v>
      </c>
      <c r="AU12" s="7"/>
      <c r="AV12" s="7"/>
      <c r="AW12" s="7"/>
      <c r="AZ12" s="20"/>
      <c r="BA12" s="20"/>
      <c r="BB12" s="20"/>
    </row>
    <row r="13" spans="1:54" ht="14.45">
      <c r="A13" s="62" t="s">
        <v>92</v>
      </c>
      <c r="B13" s="19">
        <v>200000</v>
      </c>
      <c r="C13" s="19">
        <f t="shared" ref="C13:D13" si="9">B13*1.05</f>
        <v>210000</v>
      </c>
      <c r="D13" s="19">
        <f t="shared" si="9"/>
        <v>220500</v>
      </c>
      <c r="E13" s="7">
        <f t="shared" ref="E13:P13" si="10">E8*$B$13</f>
        <v>0</v>
      </c>
      <c r="F13" s="7">
        <f t="shared" si="10"/>
        <v>0</v>
      </c>
      <c r="G13" s="7">
        <f t="shared" si="10"/>
        <v>0</v>
      </c>
      <c r="H13" s="7">
        <f t="shared" si="10"/>
        <v>200000</v>
      </c>
      <c r="I13" s="7">
        <f t="shared" si="10"/>
        <v>200000</v>
      </c>
      <c r="J13" s="7">
        <f t="shared" si="10"/>
        <v>200000</v>
      </c>
      <c r="K13" s="7">
        <f t="shared" si="10"/>
        <v>400000</v>
      </c>
      <c r="L13" s="7">
        <f t="shared" si="10"/>
        <v>400000</v>
      </c>
      <c r="M13" s="7">
        <f t="shared" si="10"/>
        <v>400000</v>
      </c>
      <c r="N13" s="7">
        <f t="shared" si="10"/>
        <v>600000</v>
      </c>
      <c r="O13" s="7">
        <f t="shared" si="10"/>
        <v>600000</v>
      </c>
      <c r="P13" s="7">
        <f t="shared" si="10"/>
        <v>600000</v>
      </c>
      <c r="Q13" s="7">
        <f t="shared" ref="Q13:AB13" si="11">Q8*$C$13</f>
        <v>630000</v>
      </c>
      <c r="R13" s="7">
        <f t="shared" si="11"/>
        <v>630000</v>
      </c>
      <c r="S13" s="7">
        <f t="shared" si="11"/>
        <v>630000</v>
      </c>
      <c r="T13" s="7">
        <f t="shared" si="11"/>
        <v>840000</v>
      </c>
      <c r="U13" s="7">
        <f t="shared" si="11"/>
        <v>840000</v>
      </c>
      <c r="V13" s="7">
        <f t="shared" si="11"/>
        <v>840000</v>
      </c>
      <c r="W13" s="7">
        <f t="shared" si="11"/>
        <v>1050000</v>
      </c>
      <c r="X13" s="7">
        <f t="shared" si="11"/>
        <v>1050000</v>
      </c>
      <c r="Y13" s="7">
        <f t="shared" si="11"/>
        <v>1050000</v>
      </c>
      <c r="Z13" s="7">
        <f t="shared" si="11"/>
        <v>1470000</v>
      </c>
      <c r="AA13" s="7">
        <f t="shared" si="11"/>
        <v>1470000</v>
      </c>
      <c r="AB13" s="7">
        <f t="shared" si="11"/>
        <v>1470000</v>
      </c>
      <c r="AC13" s="7">
        <f t="shared" ref="AC13:AN13" si="12">AC8*$D$13</f>
        <v>1984500</v>
      </c>
      <c r="AD13" s="7">
        <f t="shared" si="12"/>
        <v>1984500</v>
      </c>
      <c r="AE13" s="7">
        <f t="shared" si="12"/>
        <v>1984500</v>
      </c>
      <c r="AF13" s="7">
        <f t="shared" si="12"/>
        <v>2425500</v>
      </c>
      <c r="AG13" s="7">
        <f t="shared" si="12"/>
        <v>2425500</v>
      </c>
      <c r="AH13" s="7">
        <f t="shared" si="12"/>
        <v>2425500</v>
      </c>
      <c r="AI13" s="7">
        <f t="shared" si="12"/>
        <v>2646000</v>
      </c>
      <c r="AJ13" s="7">
        <f t="shared" si="12"/>
        <v>2646000</v>
      </c>
      <c r="AK13" s="7">
        <f t="shared" si="12"/>
        <v>2646000</v>
      </c>
      <c r="AL13" s="7">
        <f t="shared" si="12"/>
        <v>3087000</v>
      </c>
      <c r="AM13" s="7">
        <f t="shared" si="12"/>
        <v>3087000</v>
      </c>
      <c r="AN13" s="7">
        <f t="shared" si="12"/>
        <v>3087000</v>
      </c>
      <c r="AP13" s="19">
        <f>D13*1.05*12</f>
        <v>2778300</v>
      </c>
      <c r="AQ13" s="19">
        <f>AP13*1.05</f>
        <v>2917215</v>
      </c>
      <c r="AS13" s="7">
        <f>AP13*AS8</f>
        <v>44452800</v>
      </c>
      <c r="AT13" s="7">
        <f>AQ13*AT8</f>
        <v>67095945</v>
      </c>
      <c r="AU13" s="7"/>
      <c r="AV13" s="7"/>
      <c r="AW13" s="7"/>
      <c r="AZ13" s="20"/>
      <c r="BA13" s="20"/>
      <c r="BB13" s="20"/>
    </row>
    <row r="14" spans="1:54" ht="14.45">
      <c r="C14" s="62" t="s">
        <v>93</v>
      </c>
      <c r="E14" s="7">
        <f t="shared" ref="E14:AN14" si="13">SUM(E12:E13)</f>
        <v>1500000</v>
      </c>
      <c r="F14" s="7">
        <f t="shared" si="13"/>
        <v>1500000</v>
      </c>
      <c r="G14" s="7">
        <f t="shared" si="13"/>
        <v>1500000</v>
      </c>
      <c r="H14" s="7">
        <f t="shared" si="13"/>
        <v>1700000</v>
      </c>
      <c r="I14" s="7">
        <f t="shared" si="13"/>
        <v>3200000</v>
      </c>
      <c r="J14" s="7">
        <f t="shared" si="13"/>
        <v>1700000</v>
      </c>
      <c r="K14" s="7">
        <f t="shared" si="13"/>
        <v>3400000</v>
      </c>
      <c r="L14" s="7">
        <f t="shared" si="13"/>
        <v>3400000</v>
      </c>
      <c r="M14" s="7">
        <f t="shared" si="13"/>
        <v>1900000</v>
      </c>
      <c r="N14" s="7">
        <f t="shared" si="13"/>
        <v>3600000</v>
      </c>
      <c r="O14" s="7">
        <f t="shared" si="13"/>
        <v>3600000</v>
      </c>
      <c r="P14" s="7">
        <f t="shared" si="13"/>
        <v>3600000</v>
      </c>
      <c r="Q14" s="7">
        <f t="shared" si="13"/>
        <v>3780000</v>
      </c>
      <c r="R14" s="7">
        <f t="shared" si="13"/>
        <v>5355000</v>
      </c>
      <c r="S14" s="7">
        <f t="shared" si="13"/>
        <v>2205000</v>
      </c>
      <c r="T14" s="7">
        <f t="shared" si="13"/>
        <v>3990000</v>
      </c>
      <c r="U14" s="7">
        <f t="shared" si="13"/>
        <v>3990000</v>
      </c>
      <c r="V14" s="7">
        <f t="shared" si="13"/>
        <v>3990000</v>
      </c>
      <c r="W14" s="7">
        <f t="shared" si="13"/>
        <v>4200000</v>
      </c>
      <c r="X14" s="7">
        <f t="shared" si="13"/>
        <v>4200000</v>
      </c>
      <c r="Y14" s="7">
        <f t="shared" si="13"/>
        <v>5775000</v>
      </c>
      <c r="Z14" s="7">
        <f t="shared" si="13"/>
        <v>6195000</v>
      </c>
      <c r="AA14" s="7">
        <f t="shared" si="13"/>
        <v>4620000</v>
      </c>
      <c r="AB14" s="7">
        <f t="shared" si="13"/>
        <v>6195000</v>
      </c>
      <c r="AC14" s="7">
        <f t="shared" si="13"/>
        <v>6945750</v>
      </c>
      <c r="AD14" s="7">
        <f t="shared" si="13"/>
        <v>5292000</v>
      </c>
      <c r="AE14" s="7">
        <f t="shared" si="13"/>
        <v>6945750</v>
      </c>
      <c r="AF14" s="7">
        <f t="shared" si="13"/>
        <v>7386750</v>
      </c>
      <c r="AG14" s="7">
        <f t="shared" si="13"/>
        <v>5733000</v>
      </c>
      <c r="AH14" s="7">
        <f t="shared" si="13"/>
        <v>7386750</v>
      </c>
      <c r="AI14" s="7">
        <f t="shared" si="13"/>
        <v>7607250</v>
      </c>
      <c r="AJ14" s="7">
        <f t="shared" si="13"/>
        <v>7607250</v>
      </c>
      <c r="AK14" s="7">
        <f t="shared" si="13"/>
        <v>5953500</v>
      </c>
      <c r="AL14" s="7">
        <f t="shared" si="13"/>
        <v>8048250</v>
      </c>
      <c r="AM14" s="7">
        <f t="shared" si="13"/>
        <v>8048250</v>
      </c>
      <c r="AN14" s="7">
        <f t="shared" si="13"/>
        <v>8048250</v>
      </c>
      <c r="AP14" s="62"/>
      <c r="AS14" s="7">
        <f t="shared" ref="AS14:AT14" si="14">SUM(AS12:AS13)</f>
        <v>122592487.5</v>
      </c>
      <c r="AT14" s="7">
        <f t="shared" si="14"/>
        <v>171021729.375</v>
      </c>
      <c r="AU14" s="7"/>
      <c r="AV14" s="7"/>
      <c r="AW14" s="7"/>
      <c r="AZ14" s="20"/>
      <c r="BA14" s="20"/>
      <c r="BB14" s="20"/>
    </row>
    <row r="16" spans="1:54" ht="14.45">
      <c r="A16" s="5" t="s">
        <v>11</v>
      </c>
      <c r="F16" s="7"/>
      <c r="G16" s="7"/>
      <c r="H16" s="7"/>
    </row>
    <row r="17" spans="1:49" ht="15.6">
      <c r="A17" s="62" t="s">
        <v>94</v>
      </c>
      <c r="C17" s="21">
        <v>0.5</v>
      </c>
      <c r="D17" s="62" t="s">
        <v>95</v>
      </c>
      <c r="E17" s="62">
        <v>6</v>
      </c>
      <c r="F17" s="62">
        <v>8</v>
      </c>
      <c r="G17" s="62">
        <v>10</v>
      </c>
      <c r="H17" s="62">
        <v>11</v>
      </c>
      <c r="I17" s="62">
        <v>12</v>
      </c>
      <c r="J17" s="62">
        <v>13</v>
      </c>
      <c r="K17" s="62">
        <f t="shared" ref="K17:Z17" si="15">ROUNDUP(J17*1.2,0)</f>
        <v>16</v>
      </c>
      <c r="L17" s="62">
        <v>18</v>
      </c>
      <c r="M17" s="62">
        <v>20</v>
      </c>
      <c r="N17" s="62">
        <v>25</v>
      </c>
      <c r="O17" s="62">
        <v>27</v>
      </c>
      <c r="P17" s="62">
        <v>29</v>
      </c>
      <c r="Q17" s="62">
        <v>36</v>
      </c>
      <c r="R17" s="62">
        <v>41</v>
      </c>
      <c r="S17" s="62">
        <v>45</v>
      </c>
      <c r="T17" s="62">
        <f t="shared" si="15"/>
        <v>54</v>
      </c>
      <c r="U17" s="62">
        <v>61</v>
      </c>
      <c r="V17" s="62">
        <v>67</v>
      </c>
      <c r="W17" s="62">
        <v>80</v>
      </c>
      <c r="X17" s="62">
        <v>92</v>
      </c>
      <c r="Y17" s="62">
        <v>101</v>
      </c>
      <c r="Z17" s="62">
        <f t="shared" si="15"/>
        <v>122</v>
      </c>
      <c r="AA17" s="62">
        <v>137</v>
      </c>
      <c r="AB17" s="62">
        <v>151</v>
      </c>
      <c r="AC17" s="62">
        <v>180</v>
      </c>
      <c r="AD17" s="62">
        <v>205</v>
      </c>
      <c r="AE17" s="62">
        <v>230</v>
      </c>
      <c r="AF17" s="62">
        <v>260</v>
      </c>
      <c r="AG17" s="62">
        <v>308</v>
      </c>
      <c r="AH17" s="62">
        <v>355</v>
      </c>
      <c r="AI17" s="62">
        <v>400</v>
      </c>
      <c r="AJ17" s="62">
        <v>460</v>
      </c>
      <c r="AK17" s="62">
        <v>524</v>
      </c>
      <c r="AL17" s="62">
        <v>636</v>
      </c>
      <c r="AM17" s="62">
        <v>690</v>
      </c>
      <c r="AN17" s="62">
        <v>740</v>
      </c>
      <c r="AS17" s="62">
        <v>10509</v>
      </c>
      <c r="AT17" s="62">
        <v>53204</v>
      </c>
    </row>
    <row r="18" spans="1:49" ht="29.1">
      <c r="A18" s="62" t="s">
        <v>90</v>
      </c>
      <c r="C18" s="21">
        <v>0.8</v>
      </c>
      <c r="D18" s="22" t="s">
        <v>96</v>
      </c>
      <c r="E18" s="62">
        <v>0</v>
      </c>
      <c r="F18" s="62">
        <f>E17+F17</f>
        <v>14</v>
      </c>
      <c r="G18" s="62">
        <f>G17+F18</f>
        <v>24</v>
      </c>
      <c r="H18" s="62">
        <f t="shared" ref="H18:AM18" si="16">H17+G18</f>
        <v>35</v>
      </c>
      <c r="I18" s="62">
        <f t="shared" si="16"/>
        <v>47</v>
      </c>
      <c r="J18" s="62">
        <f t="shared" si="16"/>
        <v>60</v>
      </c>
      <c r="K18" s="62">
        <f t="shared" si="16"/>
        <v>76</v>
      </c>
      <c r="L18" s="62">
        <f t="shared" si="16"/>
        <v>94</v>
      </c>
      <c r="M18" s="62">
        <f t="shared" si="16"/>
        <v>114</v>
      </c>
      <c r="N18" s="62">
        <f t="shared" si="16"/>
        <v>139</v>
      </c>
      <c r="O18" s="62">
        <f t="shared" si="16"/>
        <v>166</v>
      </c>
      <c r="P18" s="62">
        <f t="shared" si="16"/>
        <v>195</v>
      </c>
      <c r="Q18" s="62">
        <f>ROUNDUP(Q17+(P18*C18),0)</f>
        <v>192</v>
      </c>
      <c r="R18" s="62">
        <f t="shared" si="16"/>
        <v>233</v>
      </c>
      <c r="S18" s="62">
        <f t="shared" si="16"/>
        <v>278</v>
      </c>
      <c r="T18" s="62">
        <f t="shared" si="16"/>
        <v>332</v>
      </c>
      <c r="U18" s="62">
        <f t="shared" si="16"/>
        <v>393</v>
      </c>
      <c r="V18" s="62">
        <f t="shared" si="16"/>
        <v>460</v>
      </c>
      <c r="W18" s="62">
        <f t="shared" si="16"/>
        <v>540</v>
      </c>
      <c r="X18" s="62">
        <f t="shared" si="16"/>
        <v>632</v>
      </c>
      <c r="Y18" s="62">
        <f t="shared" si="16"/>
        <v>733</v>
      </c>
      <c r="Z18" s="62">
        <f t="shared" si="16"/>
        <v>855</v>
      </c>
      <c r="AA18" s="62">
        <f t="shared" si="16"/>
        <v>992</v>
      </c>
      <c r="AB18" s="62">
        <f t="shared" si="16"/>
        <v>1143</v>
      </c>
      <c r="AC18" s="62">
        <f>ROUNDUP(AC17+(AB18*C18),0)</f>
        <v>1095</v>
      </c>
      <c r="AD18" s="62">
        <f t="shared" si="16"/>
        <v>1300</v>
      </c>
      <c r="AE18" s="62">
        <f t="shared" si="16"/>
        <v>1530</v>
      </c>
      <c r="AF18" s="62">
        <f t="shared" si="16"/>
        <v>1790</v>
      </c>
      <c r="AG18" s="62">
        <f t="shared" si="16"/>
        <v>2098</v>
      </c>
      <c r="AH18" s="62">
        <f t="shared" si="16"/>
        <v>2453</v>
      </c>
      <c r="AI18" s="62">
        <f t="shared" si="16"/>
        <v>2853</v>
      </c>
      <c r="AJ18" s="62">
        <f t="shared" si="16"/>
        <v>3313</v>
      </c>
      <c r="AK18" s="62">
        <f t="shared" si="16"/>
        <v>3837</v>
      </c>
      <c r="AL18" s="62">
        <f t="shared" si="16"/>
        <v>4473</v>
      </c>
      <c r="AM18" s="62">
        <f t="shared" si="16"/>
        <v>5163</v>
      </c>
      <c r="AN18" s="62">
        <f>ROUNDUP(AN17+(AM18*C18),0)</f>
        <v>4871</v>
      </c>
      <c r="AP18" s="53"/>
      <c r="AS18" s="62">
        <f>ROUNDUP(AS17+(AN18*C18),0)</f>
        <v>14406</v>
      </c>
      <c r="AT18" s="62">
        <f>ROUNDUP(AT17+(AS18*C18),0)</f>
        <v>64729</v>
      </c>
    </row>
    <row r="19" spans="1:49" ht="14.45">
      <c r="D19" s="22"/>
      <c r="AP19" s="62"/>
    </row>
    <row r="21" spans="1:49" ht="15.75" customHeight="1">
      <c r="B21" s="80" t="s">
        <v>4</v>
      </c>
      <c r="C21" s="80" t="s">
        <v>5</v>
      </c>
      <c r="D21" s="80" t="s">
        <v>6</v>
      </c>
      <c r="AP21" s="80" t="s">
        <v>7</v>
      </c>
      <c r="AQ21" s="80" t="s">
        <v>8</v>
      </c>
    </row>
    <row r="22" spans="1:49" ht="15.75" customHeight="1">
      <c r="A22" s="62" t="s">
        <v>97</v>
      </c>
      <c r="B22" s="24">
        <v>3500</v>
      </c>
      <c r="C22" s="24">
        <f t="shared" ref="C22:D22" si="17">B22*1.05</f>
        <v>3675</v>
      </c>
      <c r="D22" s="24">
        <f t="shared" si="17"/>
        <v>3858.75</v>
      </c>
      <c r="E22" s="7">
        <f t="shared" ref="E22:P22" si="18">$B$22*E18</f>
        <v>0</v>
      </c>
      <c r="F22" s="7">
        <f>$B$22*F18</f>
        <v>49000</v>
      </c>
      <c r="G22" s="7">
        <f t="shared" si="18"/>
        <v>84000</v>
      </c>
      <c r="H22" s="7">
        <f t="shared" si="18"/>
        <v>122500</v>
      </c>
      <c r="I22" s="7">
        <f t="shared" si="18"/>
        <v>164500</v>
      </c>
      <c r="J22" s="7">
        <f t="shared" si="18"/>
        <v>210000</v>
      </c>
      <c r="K22" s="7">
        <f t="shared" si="18"/>
        <v>266000</v>
      </c>
      <c r="L22" s="7">
        <f t="shared" si="18"/>
        <v>329000</v>
      </c>
      <c r="M22" s="7">
        <f t="shared" si="18"/>
        <v>399000</v>
      </c>
      <c r="N22" s="7">
        <f t="shared" si="18"/>
        <v>486500</v>
      </c>
      <c r="O22" s="7">
        <f t="shared" si="18"/>
        <v>581000</v>
      </c>
      <c r="P22" s="7">
        <f t="shared" si="18"/>
        <v>682500</v>
      </c>
      <c r="Q22" s="7">
        <f t="shared" ref="Q22:AB22" si="19">$C$22*Q18</f>
        <v>705600</v>
      </c>
      <c r="R22" s="7">
        <f t="shared" si="19"/>
        <v>856275</v>
      </c>
      <c r="S22" s="7">
        <f t="shared" si="19"/>
        <v>1021650</v>
      </c>
      <c r="T22" s="7">
        <f t="shared" si="19"/>
        <v>1220100</v>
      </c>
      <c r="U22" s="7">
        <f t="shared" si="19"/>
        <v>1444275</v>
      </c>
      <c r="V22" s="7">
        <f t="shared" si="19"/>
        <v>1690500</v>
      </c>
      <c r="W22" s="7">
        <f t="shared" si="19"/>
        <v>1984500</v>
      </c>
      <c r="X22" s="7">
        <f t="shared" si="19"/>
        <v>2322600</v>
      </c>
      <c r="Y22" s="7">
        <f t="shared" si="19"/>
        <v>2693775</v>
      </c>
      <c r="Z22" s="7">
        <f t="shared" si="19"/>
        <v>3142125</v>
      </c>
      <c r="AA22" s="7">
        <f t="shared" si="19"/>
        <v>3645600</v>
      </c>
      <c r="AB22" s="7">
        <f t="shared" si="19"/>
        <v>4200525</v>
      </c>
      <c r="AC22" s="7">
        <f t="shared" ref="AC22:AN22" si="20">$D$22*AC18</f>
        <v>4225331.25</v>
      </c>
      <c r="AD22" s="7">
        <f t="shared" si="20"/>
        <v>5016375</v>
      </c>
      <c r="AE22" s="7">
        <f t="shared" si="20"/>
        <v>5903887.5</v>
      </c>
      <c r="AF22" s="7">
        <f t="shared" si="20"/>
        <v>6907162.5</v>
      </c>
      <c r="AG22" s="7">
        <f t="shared" si="20"/>
        <v>8095657.5</v>
      </c>
      <c r="AH22" s="7">
        <f t="shared" si="20"/>
        <v>9465513.75</v>
      </c>
      <c r="AI22" s="7">
        <f t="shared" si="20"/>
        <v>11009013.75</v>
      </c>
      <c r="AJ22" s="7">
        <f t="shared" si="20"/>
        <v>12784038.75</v>
      </c>
      <c r="AK22" s="7">
        <f t="shared" si="20"/>
        <v>14806023.75</v>
      </c>
      <c r="AL22" s="7">
        <f t="shared" si="20"/>
        <v>17260188.75</v>
      </c>
      <c r="AM22" s="7">
        <f t="shared" si="20"/>
        <v>19922726.25</v>
      </c>
      <c r="AN22" s="7">
        <f t="shared" si="20"/>
        <v>18795971.25</v>
      </c>
      <c r="AP22" s="19">
        <f>D22*1.05</f>
        <v>4051.6875</v>
      </c>
      <c r="AQ22" s="19">
        <f>AP22*1.05</f>
        <v>4254.2718750000004</v>
      </c>
      <c r="AS22" s="7">
        <f t="shared" ref="AS22" si="21">AP22*AS18</f>
        <v>58368610.125</v>
      </c>
      <c r="AT22" s="7">
        <f>AQ22*AT18</f>
        <v>275374764.19687504</v>
      </c>
    </row>
    <row r="23" spans="1:49" ht="15.75" customHeight="1"/>
    <row r="24" spans="1:49" ht="15.75" customHeight="1">
      <c r="E24" s="7"/>
    </row>
    <row r="25" spans="1:49" ht="15.75" customHeight="1">
      <c r="A25" s="5" t="s">
        <v>12</v>
      </c>
    </row>
    <row r="26" spans="1:49" ht="15.75" customHeight="1">
      <c r="A26" s="62" t="s">
        <v>98</v>
      </c>
      <c r="C26" s="21">
        <v>0.2</v>
      </c>
      <c r="D26" s="62" t="s">
        <v>99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7">
        <v>50</v>
      </c>
      <c r="M26" s="7">
        <f>L26*1.2</f>
        <v>60</v>
      </c>
      <c r="N26" s="7">
        <f t="shared" ref="N26:AN26" si="22">M26*1.2</f>
        <v>72</v>
      </c>
      <c r="O26" s="7">
        <f t="shared" si="22"/>
        <v>86.399999999999991</v>
      </c>
      <c r="P26" s="7">
        <f t="shared" si="22"/>
        <v>103.67999999999999</v>
      </c>
      <c r="Q26" s="7">
        <f t="shared" si="22"/>
        <v>124.41599999999998</v>
      </c>
      <c r="R26" s="7">
        <f t="shared" si="22"/>
        <v>149.29919999999998</v>
      </c>
      <c r="S26" s="7">
        <f t="shared" si="22"/>
        <v>179.15903999999998</v>
      </c>
      <c r="T26" s="7">
        <f t="shared" si="22"/>
        <v>214.99084799999997</v>
      </c>
      <c r="U26" s="7">
        <f t="shared" si="22"/>
        <v>257.98901759999995</v>
      </c>
      <c r="V26" s="7">
        <f t="shared" si="22"/>
        <v>309.58682111999991</v>
      </c>
      <c r="W26" s="7">
        <f t="shared" si="22"/>
        <v>371.50418534399989</v>
      </c>
      <c r="X26" s="7">
        <f t="shared" si="22"/>
        <v>445.80502241279987</v>
      </c>
      <c r="Y26" s="7">
        <f t="shared" si="22"/>
        <v>534.96602689535985</v>
      </c>
      <c r="Z26" s="7">
        <f t="shared" si="22"/>
        <v>641.95923227443177</v>
      </c>
      <c r="AA26" s="7">
        <f t="shared" si="22"/>
        <v>770.35107872931815</v>
      </c>
      <c r="AB26" s="7">
        <f t="shared" si="22"/>
        <v>924.42129447518175</v>
      </c>
      <c r="AC26" s="7">
        <f t="shared" si="22"/>
        <v>1109.3055533702181</v>
      </c>
      <c r="AD26" s="7">
        <f t="shared" si="22"/>
        <v>1331.1666640442618</v>
      </c>
      <c r="AE26" s="7">
        <f t="shared" si="22"/>
        <v>1597.3999968531141</v>
      </c>
      <c r="AF26" s="7">
        <f t="shared" si="22"/>
        <v>1916.8799962237367</v>
      </c>
      <c r="AG26" s="7">
        <f t="shared" si="22"/>
        <v>2300.2559954684839</v>
      </c>
      <c r="AH26" s="7">
        <f t="shared" si="22"/>
        <v>2760.3071945621805</v>
      </c>
      <c r="AI26" s="7">
        <f t="shared" si="22"/>
        <v>3312.3686334746167</v>
      </c>
      <c r="AJ26" s="7">
        <f t="shared" si="22"/>
        <v>3974.8423601695399</v>
      </c>
      <c r="AK26" s="7">
        <f t="shared" si="22"/>
        <v>4769.8108322034477</v>
      </c>
      <c r="AL26" s="7">
        <f t="shared" si="22"/>
        <v>5723.7729986441373</v>
      </c>
      <c r="AM26" s="7">
        <f t="shared" si="22"/>
        <v>6868.5275983729643</v>
      </c>
      <c r="AN26" s="7">
        <f t="shared" si="22"/>
        <v>8242.2331180475576</v>
      </c>
      <c r="AP26" s="21">
        <v>0.25</v>
      </c>
      <c r="AQ26" s="62" t="s">
        <v>100</v>
      </c>
      <c r="AS26" s="7">
        <f>SUM(AC26:AN26)*1.25</f>
        <v>54883.588676792824</v>
      </c>
      <c r="AT26" s="7">
        <f>AS26*1.25</f>
        <v>68604.485845991032</v>
      </c>
      <c r="AV26" s="25"/>
      <c r="AW26" s="25"/>
    </row>
    <row r="27" spans="1:49" ht="15.75" customHeight="1"/>
    <row r="28" spans="1:49" ht="15.75" customHeight="1">
      <c r="B28" s="80" t="s">
        <v>4</v>
      </c>
      <c r="C28" s="80" t="s">
        <v>5</v>
      </c>
      <c r="D28" s="80" t="s">
        <v>6</v>
      </c>
      <c r="AP28" s="80" t="s">
        <v>7</v>
      </c>
      <c r="AQ28" s="80" t="s">
        <v>8</v>
      </c>
    </row>
    <row r="29" spans="1:49" ht="15.75" customHeight="1">
      <c r="A29" s="62" t="s">
        <v>101</v>
      </c>
      <c r="B29" s="24">
        <v>160</v>
      </c>
      <c r="C29" s="24">
        <f t="shared" ref="C29:D29" si="23">B29*1.05</f>
        <v>168</v>
      </c>
      <c r="D29" s="24">
        <f t="shared" si="23"/>
        <v>176.4</v>
      </c>
      <c r="E29" s="7">
        <f t="shared" ref="E29:P29" si="24">$B$29*E26</f>
        <v>0</v>
      </c>
      <c r="F29" s="7">
        <f t="shared" si="24"/>
        <v>0</v>
      </c>
      <c r="G29" s="7">
        <f t="shared" si="24"/>
        <v>0</v>
      </c>
      <c r="H29" s="7">
        <f t="shared" si="24"/>
        <v>0</v>
      </c>
      <c r="I29" s="7">
        <f t="shared" si="24"/>
        <v>0</v>
      </c>
      <c r="J29" s="7">
        <f t="shared" si="24"/>
        <v>0</v>
      </c>
      <c r="K29" s="7">
        <f t="shared" si="24"/>
        <v>0</v>
      </c>
      <c r="L29" s="7">
        <f t="shared" si="24"/>
        <v>8000</v>
      </c>
      <c r="M29" s="7">
        <f t="shared" si="24"/>
        <v>9600</v>
      </c>
      <c r="N29" s="7">
        <f t="shared" si="24"/>
        <v>11520</v>
      </c>
      <c r="O29" s="7">
        <f t="shared" si="24"/>
        <v>13823.999999999998</v>
      </c>
      <c r="P29" s="7">
        <f t="shared" si="24"/>
        <v>16588.8</v>
      </c>
      <c r="Q29" s="7">
        <f t="shared" ref="Q29:AB29" si="25">$C$29*Q26</f>
        <v>20901.887999999995</v>
      </c>
      <c r="R29" s="7">
        <f t="shared" si="25"/>
        <v>25082.265599999999</v>
      </c>
      <c r="S29" s="7">
        <f t="shared" si="25"/>
        <v>30098.718719999997</v>
      </c>
      <c r="T29" s="7">
        <f t="shared" si="25"/>
        <v>36118.462463999997</v>
      </c>
      <c r="U29" s="7">
        <f t="shared" si="25"/>
        <v>43342.15495679999</v>
      </c>
      <c r="V29" s="7">
        <f t="shared" si="25"/>
        <v>52010.585948159984</v>
      </c>
      <c r="W29" s="7">
        <f t="shared" si="25"/>
        <v>62412.703137791985</v>
      </c>
      <c r="X29" s="7">
        <f t="shared" si="25"/>
        <v>74895.243765350373</v>
      </c>
      <c r="Y29" s="7">
        <f t="shared" si="25"/>
        <v>89874.292518420451</v>
      </c>
      <c r="Z29" s="7">
        <f t="shared" si="25"/>
        <v>107849.15102210453</v>
      </c>
      <c r="AA29" s="7">
        <f t="shared" si="25"/>
        <v>129418.98122652544</v>
      </c>
      <c r="AB29" s="7">
        <f t="shared" si="25"/>
        <v>155302.77747183054</v>
      </c>
      <c r="AC29" s="7">
        <f t="shared" ref="AC29:AN29" si="26">$D$29*AC26</f>
        <v>195681.49961450649</v>
      </c>
      <c r="AD29" s="7">
        <f t="shared" si="26"/>
        <v>234817.79953740779</v>
      </c>
      <c r="AE29" s="7">
        <f t="shared" si="26"/>
        <v>281781.35944488936</v>
      </c>
      <c r="AF29" s="7">
        <f t="shared" si="26"/>
        <v>338137.63133386715</v>
      </c>
      <c r="AG29" s="7">
        <f t="shared" si="26"/>
        <v>405765.15760064055</v>
      </c>
      <c r="AH29" s="7">
        <f t="shared" si="26"/>
        <v>486918.18912076863</v>
      </c>
      <c r="AI29" s="7">
        <f t="shared" si="26"/>
        <v>584301.82694492245</v>
      </c>
      <c r="AJ29" s="7">
        <f t="shared" si="26"/>
        <v>701162.19233390689</v>
      </c>
      <c r="AK29" s="7">
        <f t="shared" si="26"/>
        <v>841394.63080068817</v>
      </c>
      <c r="AL29" s="7">
        <f t="shared" si="26"/>
        <v>1009673.5569608258</v>
      </c>
      <c r="AM29" s="7">
        <f t="shared" si="26"/>
        <v>1211608.268352991</v>
      </c>
      <c r="AN29" s="7">
        <f t="shared" si="26"/>
        <v>1453929.9220235893</v>
      </c>
      <c r="AP29" s="19">
        <f>D29*1.05</f>
        <v>185.22000000000003</v>
      </c>
      <c r="AQ29" s="19">
        <f>AP29*1.05</f>
        <v>194.48100000000002</v>
      </c>
      <c r="AS29" s="7">
        <f t="shared" ref="AS29:AT29" si="27">AP29*AS26</f>
        <v>10165538.294715568</v>
      </c>
      <c r="AT29" s="7">
        <f t="shared" si="27"/>
        <v>13342269.011814183</v>
      </c>
    </row>
    <row r="30" spans="1:49" ht="15.75" customHeight="1"/>
    <row r="31" spans="1:49" ht="15.75" customHeight="1"/>
    <row r="32" spans="1:49" ht="15.75" customHeight="1">
      <c r="D32" s="5" t="s">
        <v>102</v>
      </c>
      <c r="E32" s="7">
        <f>SUM(E14,E22,E29)</f>
        <v>1500000</v>
      </c>
      <c r="F32" s="7">
        <f t="shared" ref="F32:AN32" si="28">SUM(F14,F22,F29)</f>
        <v>1549000</v>
      </c>
      <c r="G32" s="7">
        <f t="shared" si="28"/>
        <v>1584000</v>
      </c>
      <c r="H32" s="7">
        <f t="shared" si="28"/>
        <v>1822500</v>
      </c>
      <c r="I32" s="7">
        <f t="shared" si="28"/>
        <v>3364500</v>
      </c>
      <c r="J32" s="7">
        <f t="shared" si="28"/>
        <v>1910000</v>
      </c>
      <c r="K32" s="7">
        <f t="shared" si="28"/>
        <v>3666000</v>
      </c>
      <c r="L32" s="7">
        <f t="shared" si="28"/>
        <v>3737000</v>
      </c>
      <c r="M32" s="7">
        <f t="shared" si="28"/>
        <v>2308600</v>
      </c>
      <c r="N32" s="7">
        <f t="shared" si="28"/>
        <v>4098020</v>
      </c>
      <c r="O32" s="7">
        <f t="shared" si="28"/>
        <v>4194824</v>
      </c>
      <c r="P32" s="7">
        <f t="shared" si="28"/>
        <v>4299088.8</v>
      </c>
      <c r="Q32" s="7">
        <f t="shared" si="28"/>
        <v>4506501.8880000003</v>
      </c>
      <c r="R32" s="7">
        <f t="shared" si="28"/>
        <v>6236357.2655999996</v>
      </c>
      <c r="S32" s="7">
        <f t="shared" si="28"/>
        <v>3256748.7187199998</v>
      </c>
      <c r="T32" s="7">
        <f t="shared" si="28"/>
        <v>5246218.4624640001</v>
      </c>
      <c r="U32" s="7">
        <f t="shared" si="28"/>
        <v>5477617.1549567999</v>
      </c>
      <c r="V32" s="7">
        <f t="shared" si="28"/>
        <v>5732510.5859481599</v>
      </c>
      <c r="W32" s="7">
        <f t="shared" si="28"/>
        <v>6246912.7031377917</v>
      </c>
      <c r="X32" s="7">
        <f t="shared" si="28"/>
        <v>6597495.2437653504</v>
      </c>
      <c r="Y32" s="7">
        <f t="shared" si="28"/>
        <v>8558649.2925184201</v>
      </c>
      <c r="Z32" s="7">
        <f t="shared" si="28"/>
        <v>9444974.1510221045</v>
      </c>
      <c r="AA32" s="7">
        <f t="shared" si="28"/>
        <v>8395018.9812265262</v>
      </c>
      <c r="AB32" s="7">
        <f t="shared" si="28"/>
        <v>10550827.777471831</v>
      </c>
      <c r="AC32" s="7">
        <f t="shared" si="28"/>
        <v>11366762.749614507</v>
      </c>
      <c r="AD32" s="7">
        <f t="shared" si="28"/>
        <v>10543192.799537407</v>
      </c>
      <c r="AE32" s="7">
        <f t="shared" si="28"/>
        <v>13131418.85944489</v>
      </c>
      <c r="AF32" s="7">
        <f t="shared" si="28"/>
        <v>14632050.131333867</v>
      </c>
      <c r="AG32" s="7">
        <f t="shared" si="28"/>
        <v>14234422.657600641</v>
      </c>
      <c r="AH32" s="7">
        <f t="shared" si="28"/>
        <v>17339181.93912077</v>
      </c>
      <c r="AI32" s="7">
        <f t="shared" si="28"/>
        <v>19200565.576944921</v>
      </c>
      <c r="AJ32" s="7">
        <f t="shared" si="28"/>
        <v>21092450.942333907</v>
      </c>
      <c r="AK32" s="7">
        <f t="shared" si="28"/>
        <v>21600918.380800687</v>
      </c>
      <c r="AL32" s="7">
        <f t="shared" si="28"/>
        <v>26318112.306960825</v>
      </c>
      <c r="AM32" s="7">
        <f t="shared" si="28"/>
        <v>29182584.518352993</v>
      </c>
      <c r="AN32" s="7">
        <f t="shared" si="28"/>
        <v>28298151.172023591</v>
      </c>
      <c r="AS32" s="7">
        <f t="shared" ref="AS32:AT32" si="29">SUM(AS14,AS22,AS29)</f>
        <v>191126635.91971558</v>
      </c>
      <c r="AT32" s="7">
        <f t="shared" si="29"/>
        <v>459738762.58368921</v>
      </c>
      <c r="AU32" s="7"/>
      <c r="AV32" s="7"/>
      <c r="AW32" s="7"/>
    </row>
    <row r="33" spans="1:46" ht="15.75" customHeight="1"/>
    <row r="34" spans="1:46" ht="15.75" customHeight="1"/>
    <row r="35" spans="1:46" s="53" customFormat="1" ht="15.75" customHeight="1"/>
    <row r="36" spans="1:46" s="53" customFormat="1" ht="15.75" customHeight="1"/>
    <row r="37" spans="1:46" ht="15.75" customHeight="1">
      <c r="AL37" s="51"/>
      <c r="AM37" s="51"/>
      <c r="AN37" s="51"/>
    </row>
    <row r="38" spans="1:46" ht="15.75" customHeight="1"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AL38" s="51"/>
      <c r="AM38" s="51"/>
      <c r="AN38" s="51"/>
    </row>
    <row r="39" spans="1:46" ht="15.75" customHeight="1">
      <c r="A39" s="81" t="s">
        <v>103</v>
      </c>
      <c r="B39" s="80" t="s">
        <v>4</v>
      </c>
      <c r="C39" s="80" t="s">
        <v>5</v>
      </c>
      <c r="D39" s="80" t="s">
        <v>6</v>
      </c>
      <c r="E39" s="80" t="s">
        <v>7</v>
      </c>
      <c r="F39" s="80" t="s">
        <v>8</v>
      </c>
      <c r="I39" s="49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N39" s="112"/>
      <c r="AO39" s="113"/>
    </row>
    <row r="40" spans="1:46" ht="15.75" customHeight="1">
      <c r="A40" s="62" t="s">
        <v>104</v>
      </c>
      <c r="B40" s="7">
        <f>SUM(E14:P14)</f>
        <v>30600000</v>
      </c>
      <c r="C40" s="7">
        <f>SUM(Q14:AB14)</f>
        <v>54495000</v>
      </c>
      <c r="D40" s="7">
        <f>SUM(AC14:AN14)</f>
        <v>85002750</v>
      </c>
      <c r="E40" s="7">
        <f t="shared" ref="E40:F40" si="30">AS14</f>
        <v>122592487.5</v>
      </c>
      <c r="F40" s="7">
        <f t="shared" si="30"/>
        <v>171021729.375</v>
      </c>
      <c r="I40" s="48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S40" s="54"/>
      <c r="AT40" s="54"/>
    </row>
    <row r="41" spans="1:46" ht="15.75" customHeight="1">
      <c r="A41" s="62" t="s">
        <v>105</v>
      </c>
      <c r="B41" s="7">
        <f>SUM(E22:P22)</f>
        <v>3374000</v>
      </c>
      <c r="C41" s="7">
        <f>SUM(Q22:AB22)</f>
        <v>24927525</v>
      </c>
      <c r="D41" s="7">
        <f>SUM(AC22:AN22)</f>
        <v>134191890</v>
      </c>
      <c r="E41" s="7">
        <f t="shared" ref="E41:F41" si="31">AS22</f>
        <v>58368610.125</v>
      </c>
      <c r="F41" s="7">
        <f t="shared" si="31"/>
        <v>275374764.19687504</v>
      </c>
      <c r="I41" s="48"/>
      <c r="J41" s="48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62"/>
      <c r="AM41" s="52"/>
      <c r="AS41" s="52"/>
      <c r="AT41" s="52"/>
    </row>
    <row r="42" spans="1:46" ht="15.75" customHeight="1">
      <c r="A42" s="62" t="s">
        <v>106</v>
      </c>
      <c r="B42" s="7">
        <f>SUM(E29:P29)</f>
        <v>59532.800000000003</v>
      </c>
      <c r="C42" s="7">
        <f>SUM(Q29:AB29)</f>
        <v>827307.22483098344</v>
      </c>
      <c r="D42" s="7">
        <f>SUM(AC29:AN29)</f>
        <v>7745172.0340690035</v>
      </c>
      <c r="E42" s="7">
        <f t="shared" ref="E42:F42" si="32">AS29</f>
        <v>10165538.294715568</v>
      </c>
      <c r="F42" s="7">
        <f t="shared" si="32"/>
        <v>13342269.011814183</v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1:46" ht="15.75" customHeight="1">
      <c r="A43" s="5" t="s">
        <v>107</v>
      </c>
      <c r="B43" s="7">
        <f t="shared" ref="B43:F43" si="33">SUM(B40:B42)</f>
        <v>34033532.799999997</v>
      </c>
      <c r="C43" s="7">
        <f t="shared" si="33"/>
        <v>80249832.224830985</v>
      </c>
      <c r="D43" s="7">
        <f t="shared" si="33"/>
        <v>226939812.034069</v>
      </c>
      <c r="E43" s="7">
        <f t="shared" si="33"/>
        <v>191126635.91971558</v>
      </c>
      <c r="F43" s="7">
        <f t="shared" si="33"/>
        <v>459738762.58368921</v>
      </c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46" ht="15.75" customHeight="1"/>
    <row r="45" spans="1:46" ht="15.75" customHeight="1">
      <c r="A45" s="81" t="s">
        <v>108</v>
      </c>
      <c r="B45" s="80" t="s">
        <v>4</v>
      </c>
      <c r="C45" s="80" t="s">
        <v>5</v>
      </c>
      <c r="D45" s="80" t="s">
        <v>6</v>
      </c>
      <c r="E45" s="80" t="s">
        <v>7</v>
      </c>
      <c r="F45" s="80" t="s">
        <v>8</v>
      </c>
      <c r="AN45" s="112"/>
      <c r="AO45" s="113"/>
    </row>
    <row r="46" spans="1:46" ht="15.75" customHeight="1">
      <c r="A46" s="62" t="s">
        <v>109</v>
      </c>
      <c r="B46" s="55">
        <f>SUM(E7:P7)</f>
        <v>18</v>
      </c>
      <c r="C46" s="55">
        <f>SUM(Q7:AB7)</f>
        <v>27</v>
      </c>
      <c r="D46" s="55">
        <f t="shared" ref="D46:D47" si="34">SUM(AC7:AN7)</f>
        <v>33</v>
      </c>
      <c r="E46" s="84">
        <f t="shared" ref="E46:F46" si="35">AS7</f>
        <v>45</v>
      </c>
      <c r="F46" s="84">
        <f t="shared" si="35"/>
        <v>57</v>
      </c>
    </row>
    <row r="47" spans="1:46" ht="15.75" customHeight="1">
      <c r="A47" s="62" t="s">
        <v>110</v>
      </c>
      <c r="B47" s="55">
        <f>SUM(E8:P8)</f>
        <v>18</v>
      </c>
      <c r="C47" s="55">
        <f t="shared" ref="C47" si="36">SUM(Q8:AB8)</f>
        <v>57</v>
      </c>
      <c r="D47" s="55">
        <f t="shared" si="34"/>
        <v>138</v>
      </c>
      <c r="E47" s="84">
        <f t="shared" ref="E47:F47" si="37">AS8</f>
        <v>16</v>
      </c>
      <c r="F47" s="84">
        <f t="shared" si="37"/>
        <v>23</v>
      </c>
    </row>
    <row r="48" spans="1:46" ht="15.75" customHeight="1">
      <c r="A48" s="62" t="s">
        <v>111</v>
      </c>
      <c r="B48" s="55">
        <f t="shared" ref="B48" si="38">SUM(E9:P9)</f>
        <v>36</v>
      </c>
      <c r="C48" s="55">
        <f t="shared" ref="C48" si="39">SUM(Q9:AB9)</f>
        <v>84</v>
      </c>
      <c r="D48" s="55">
        <f t="shared" ref="D48" si="40">SUM(AC9:AN9)</f>
        <v>171</v>
      </c>
      <c r="E48" s="84">
        <f t="shared" ref="E48" si="41">AS9</f>
        <v>61</v>
      </c>
      <c r="F48" s="84">
        <f t="shared" ref="F48" si="42">AT9</f>
        <v>80</v>
      </c>
    </row>
    <row r="49" spans="1:9" ht="15.75" customHeight="1">
      <c r="A49" s="62" t="s">
        <v>112</v>
      </c>
      <c r="B49" s="55">
        <f t="shared" ref="B49:B50" si="43">SUM(E17:P17)</f>
        <v>195</v>
      </c>
      <c r="C49" s="55">
        <f t="shared" ref="C49:C50" si="44">SUM(Q17:AB17)</f>
        <v>987</v>
      </c>
      <c r="D49" s="55">
        <f t="shared" ref="D49:D50" si="45">SUM(AC17:AN17)</f>
        <v>4988</v>
      </c>
      <c r="E49" s="84">
        <f t="shared" ref="E49:F49" si="46">AS17</f>
        <v>10509</v>
      </c>
      <c r="F49" s="84">
        <f t="shared" si="46"/>
        <v>53204</v>
      </c>
    </row>
    <row r="50" spans="1:9" ht="15.75" customHeight="1">
      <c r="A50" s="62" t="s">
        <v>113</v>
      </c>
      <c r="B50" s="55">
        <f t="shared" si="43"/>
        <v>964</v>
      </c>
      <c r="C50" s="55">
        <f t="shared" si="44"/>
        <v>6783</v>
      </c>
      <c r="D50" s="55">
        <f t="shared" si="45"/>
        <v>34776</v>
      </c>
      <c r="E50" s="84">
        <f t="shared" ref="E50:F50" si="47">AS18</f>
        <v>14406</v>
      </c>
      <c r="F50" s="84">
        <f t="shared" si="47"/>
        <v>64729</v>
      </c>
    </row>
    <row r="51" spans="1:9" ht="15.75" customHeight="1">
      <c r="A51" s="62" t="s">
        <v>114</v>
      </c>
      <c r="B51" s="55">
        <f>SUM(E26:P26)</f>
        <v>372.08</v>
      </c>
      <c r="C51" s="55">
        <f>SUM(Q26:AB26)</f>
        <v>4924.4477668510908</v>
      </c>
      <c r="D51" s="55">
        <f>SUM(AC26:AN26)</f>
        <v>43906.870941434259</v>
      </c>
      <c r="E51" s="55">
        <f t="shared" ref="E51:F51" si="48">AS26</f>
        <v>54883.588676792824</v>
      </c>
      <c r="F51" s="55">
        <f t="shared" si="48"/>
        <v>68604.485845991032</v>
      </c>
    </row>
    <row r="52" spans="1:9" ht="15.75" customHeight="1"/>
    <row r="53" spans="1:9" ht="15.75" customHeight="1"/>
    <row r="54" spans="1:9" ht="15.75" customHeight="1">
      <c r="A54" s="5"/>
    </row>
    <row r="55" spans="1:9" ht="15.75" customHeight="1">
      <c r="A55" s="62"/>
      <c r="B55" s="7"/>
      <c r="C55" s="7"/>
      <c r="D55" s="7"/>
      <c r="E55" s="7"/>
      <c r="F55" s="7"/>
      <c r="G55" s="7"/>
      <c r="H55" s="7"/>
      <c r="I55" s="7"/>
    </row>
    <row r="56" spans="1:9" ht="15.75" customHeight="1">
      <c r="A56" s="62"/>
      <c r="B56" s="7"/>
      <c r="C56" s="7"/>
      <c r="D56" s="7"/>
      <c r="E56" s="7"/>
      <c r="F56" s="7"/>
      <c r="G56" s="7"/>
      <c r="H56" s="7"/>
      <c r="I56" s="7"/>
    </row>
    <row r="57" spans="1:9" ht="15.75" customHeight="1"/>
    <row r="58" spans="1:9" ht="15.75" customHeight="1"/>
    <row r="59" spans="1:9" ht="15.75" customHeight="1"/>
    <row r="60" spans="1:9" ht="15.75" customHeight="1"/>
    <row r="61" spans="1:9" ht="15.75" customHeight="1"/>
    <row r="62" spans="1:9" ht="15.75" customHeight="1"/>
    <row r="63" spans="1:9" ht="15.75" customHeight="1"/>
    <row r="64" spans="1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N39:AO39"/>
    <mergeCell ref="AN45:AO45"/>
  </mergeCells>
  <phoneticPr fontId="24" type="noConversion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1000"/>
  <sheetViews>
    <sheetView showGridLines="0" workbookViewId="0">
      <pane xSplit="9" topLeftCell="J1" activePane="topRight" state="frozen"/>
      <selection pane="topRight" activeCell="B1" sqref="B1"/>
    </sheetView>
  </sheetViews>
  <sheetFormatPr defaultColWidth="14.42578125" defaultRowHeight="15" customHeight="1"/>
  <cols>
    <col min="1" max="1" width="20.85546875" customWidth="1"/>
    <col min="2" max="2" width="11.85546875" customWidth="1"/>
    <col min="3" max="3" width="10.42578125" customWidth="1"/>
    <col min="4" max="4" width="11.5703125" customWidth="1"/>
    <col min="5" max="5" width="11.42578125" customWidth="1"/>
    <col min="6" max="6" width="13.42578125" bestFit="1" customWidth="1"/>
    <col min="7" max="7" width="3.5703125" customWidth="1"/>
    <col min="8" max="8" width="20.42578125" customWidth="1"/>
    <col min="9" max="9" width="17.85546875" customWidth="1"/>
    <col min="10" max="10" width="4.5703125" customWidth="1"/>
    <col min="11" max="12" width="13.42578125" customWidth="1"/>
    <col min="13" max="13" width="11" customWidth="1"/>
    <col min="14" max="14" width="12.42578125" customWidth="1"/>
    <col min="15" max="15" width="11" customWidth="1"/>
    <col min="16" max="17" width="12.42578125" customWidth="1"/>
    <col min="18" max="18" width="11" customWidth="1"/>
    <col min="19" max="38" width="12.42578125" customWidth="1"/>
    <col min="39" max="39" width="13.85546875" customWidth="1"/>
    <col min="40" max="46" width="12.42578125" customWidth="1"/>
    <col min="47" max="47" width="10.5703125" customWidth="1"/>
    <col min="48" max="48" width="13.42578125" customWidth="1"/>
    <col min="49" max="49" width="14.42578125" customWidth="1"/>
  </cols>
  <sheetData>
    <row r="1" spans="1:49" ht="21">
      <c r="A1" s="1" t="s">
        <v>0</v>
      </c>
      <c r="I1" s="26"/>
      <c r="J1" s="27"/>
    </row>
    <row r="2" spans="1:49" ht="18.600000000000001">
      <c r="A2" s="2" t="s">
        <v>115</v>
      </c>
      <c r="I2" s="26"/>
      <c r="J2" s="27"/>
    </row>
    <row r="3" spans="1:49" ht="14.45">
      <c r="I3" s="26"/>
      <c r="J3" s="27"/>
    </row>
    <row r="4" spans="1:49" ht="14.45">
      <c r="I4" s="26"/>
      <c r="J4" s="27"/>
    </row>
    <row r="5" spans="1:49" ht="15.6">
      <c r="A5" s="5" t="s">
        <v>116</v>
      </c>
      <c r="H5" s="66" t="s">
        <v>3</v>
      </c>
      <c r="I5" s="85" t="s">
        <v>60</v>
      </c>
      <c r="J5" s="27"/>
      <c r="K5" s="86" t="s">
        <v>73</v>
      </c>
      <c r="L5" s="86" t="s">
        <v>74</v>
      </c>
      <c r="M5" s="86" t="s">
        <v>75</v>
      </c>
      <c r="N5" s="86" t="s">
        <v>76</v>
      </c>
      <c r="O5" s="86" t="s">
        <v>77</v>
      </c>
      <c r="P5" s="86" t="s">
        <v>78</v>
      </c>
      <c r="Q5" s="86" t="s">
        <v>79</v>
      </c>
      <c r="R5" s="86" t="s">
        <v>80</v>
      </c>
      <c r="S5" s="86" t="s">
        <v>81</v>
      </c>
      <c r="T5" s="86" t="s">
        <v>82</v>
      </c>
      <c r="U5" s="86" t="s">
        <v>83</v>
      </c>
      <c r="V5" s="86" t="s">
        <v>84</v>
      </c>
      <c r="W5" s="76">
        <v>45748</v>
      </c>
      <c r="X5" s="76">
        <v>45778</v>
      </c>
      <c r="Y5" s="76">
        <v>45809</v>
      </c>
      <c r="Z5" s="76">
        <v>45839</v>
      </c>
      <c r="AA5" s="76">
        <v>45870</v>
      </c>
      <c r="AB5" s="76">
        <v>45901</v>
      </c>
      <c r="AC5" s="76">
        <v>45931</v>
      </c>
      <c r="AD5" s="76">
        <v>45962</v>
      </c>
      <c r="AE5" s="76">
        <v>45992</v>
      </c>
      <c r="AF5" s="76">
        <v>46023</v>
      </c>
      <c r="AG5" s="76">
        <v>46054</v>
      </c>
      <c r="AH5" s="76">
        <v>46082</v>
      </c>
      <c r="AI5" s="76">
        <v>46113</v>
      </c>
      <c r="AJ5" s="76">
        <v>46143</v>
      </c>
      <c r="AK5" s="76">
        <v>46174</v>
      </c>
      <c r="AL5" s="76">
        <v>46204</v>
      </c>
      <c r="AM5" s="76">
        <v>46235</v>
      </c>
      <c r="AN5" s="76">
        <v>46266</v>
      </c>
      <c r="AO5" s="76">
        <v>46296</v>
      </c>
      <c r="AP5" s="76">
        <v>46327</v>
      </c>
      <c r="AQ5" s="76">
        <v>46357</v>
      </c>
      <c r="AR5" s="76">
        <v>46388</v>
      </c>
      <c r="AS5" s="76">
        <v>46419</v>
      </c>
      <c r="AT5" s="76">
        <v>46447</v>
      </c>
      <c r="AV5" s="76" t="s">
        <v>7</v>
      </c>
      <c r="AW5" s="76" t="s">
        <v>8</v>
      </c>
    </row>
    <row r="6" spans="1:49" ht="14.45">
      <c r="A6" s="23" t="s">
        <v>117</v>
      </c>
      <c r="B6" s="64" t="s">
        <v>118</v>
      </c>
      <c r="C6" s="87"/>
      <c r="D6" s="88"/>
      <c r="H6" s="28" t="s">
        <v>119</v>
      </c>
      <c r="I6" s="26"/>
      <c r="J6" s="5"/>
    </row>
    <row r="7" spans="1:49" ht="14.45">
      <c r="A7" s="23" t="s">
        <v>120</v>
      </c>
      <c r="B7" s="105" t="s">
        <v>121</v>
      </c>
      <c r="C7" s="114"/>
      <c r="D7" s="115"/>
      <c r="H7" s="26" t="s">
        <v>122</v>
      </c>
      <c r="I7" s="26" t="s">
        <v>63</v>
      </c>
      <c r="K7" s="73">
        <f>Manpower!G24</f>
        <v>6</v>
      </c>
      <c r="L7" s="73">
        <f>Manpower!H24</f>
        <v>6</v>
      </c>
      <c r="M7" s="73">
        <f>Manpower!I24</f>
        <v>6</v>
      </c>
      <c r="N7" s="73">
        <f>Manpower!J24</f>
        <v>14.5</v>
      </c>
      <c r="O7" s="73">
        <f>Manpower!K24</f>
        <v>14.5</v>
      </c>
      <c r="P7" s="73">
        <f>Manpower!L24</f>
        <v>19.333333333333332</v>
      </c>
      <c r="Q7" s="73">
        <f>Manpower!M24</f>
        <v>19.333333333333332</v>
      </c>
      <c r="R7" s="73">
        <f>Manpower!N24</f>
        <v>24.166666666666668</v>
      </c>
      <c r="S7" s="73">
        <f>Manpower!O24</f>
        <v>24.166666666666668</v>
      </c>
      <c r="T7" s="73">
        <f>Manpower!P24</f>
        <v>24.166666666666668</v>
      </c>
      <c r="U7" s="73">
        <f>Manpower!Q24</f>
        <v>24.166666666666668</v>
      </c>
      <c r="V7" s="73">
        <f>Manpower!R24</f>
        <v>24.166666666666668</v>
      </c>
      <c r="W7" s="73">
        <f>Manpower!S24</f>
        <v>15</v>
      </c>
      <c r="X7" s="73">
        <f>Manpower!T24</f>
        <v>15</v>
      </c>
      <c r="Y7" s="73">
        <f>Manpower!U24</f>
        <v>18</v>
      </c>
      <c r="Z7" s="73">
        <f>Manpower!V24</f>
        <v>15</v>
      </c>
      <c r="AA7" s="73">
        <f>Manpower!W24</f>
        <v>15</v>
      </c>
      <c r="AB7" s="73">
        <f>Manpower!X24</f>
        <v>13</v>
      </c>
      <c r="AC7" s="73">
        <f>Manpower!Y24</f>
        <v>15</v>
      </c>
      <c r="AD7" s="73">
        <f>Manpower!Z24</f>
        <v>15</v>
      </c>
      <c r="AE7" s="73">
        <f>Manpower!AA24</f>
        <v>15</v>
      </c>
      <c r="AF7" s="73">
        <f>Manpower!AB24</f>
        <v>18</v>
      </c>
      <c r="AG7" s="73">
        <f>Manpower!AC24</f>
        <v>20</v>
      </c>
      <c r="AH7" s="73">
        <f>Manpower!AD24</f>
        <v>20</v>
      </c>
      <c r="AI7" s="73">
        <f>Manpower!AE24</f>
        <v>20</v>
      </c>
      <c r="AJ7" s="73">
        <f>Manpower!AF24</f>
        <v>20</v>
      </c>
      <c r="AK7" s="73">
        <f>Manpower!AG24</f>
        <v>20</v>
      </c>
      <c r="AL7" s="73">
        <f>Manpower!AH24</f>
        <v>20</v>
      </c>
      <c r="AM7" s="73">
        <f>Manpower!AI24</f>
        <v>20</v>
      </c>
      <c r="AN7" s="73">
        <f>Manpower!AJ24</f>
        <v>20</v>
      </c>
      <c r="AO7" s="73">
        <f>Manpower!AK24</f>
        <v>20</v>
      </c>
      <c r="AP7" s="73">
        <f>Manpower!AL24</f>
        <v>20</v>
      </c>
      <c r="AQ7" s="73">
        <f>Manpower!AM24</f>
        <v>23</v>
      </c>
      <c r="AR7" s="73">
        <f>Manpower!AN24</f>
        <v>20</v>
      </c>
      <c r="AS7" s="73">
        <f>Manpower!AO24</f>
        <v>20</v>
      </c>
      <c r="AT7" s="73">
        <f>Manpower!AP24</f>
        <v>20</v>
      </c>
      <c r="AV7" s="73">
        <f>Manpower!AU24</f>
        <v>36.5</v>
      </c>
      <c r="AW7" s="73">
        <f>Manpower!AV24</f>
        <v>46.5</v>
      </c>
    </row>
    <row r="8" spans="1:49" ht="14.45">
      <c r="A8" s="53"/>
      <c r="B8" s="116"/>
      <c r="C8" s="116"/>
      <c r="D8" s="116"/>
      <c r="H8" s="62" t="s">
        <v>123</v>
      </c>
      <c r="I8" s="26" t="s">
        <v>63</v>
      </c>
      <c r="J8" s="27"/>
      <c r="K8" s="7">
        <f>Manpower!G23</f>
        <v>600000</v>
      </c>
      <c r="L8" s="7">
        <f>Manpower!H23</f>
        <v>600000</v>
      </c>
      <c r="M8" s="7">
        <f>Manpower!I23</f>
        <v>600000</v>
      </c>
      <c r="N8" s="7">
        <f>Manpower!J23</f>
        <v>1410000</v>
      </c>
      <c r="O8" s="7">
        <f>Manpower!K23</f>
        <v>1410000</v>
      </c>
      <c r="P8" s="7">
        <f>Manpower!L23</f>
        <v>1880000</v>
      </c>
      <c r="Q8" s="7">
        <f>Manpower!M23</f>
        <v>1880000</v>
      </c>
      <c r="R8" s="7">
        <f>Manpower!N23</f>
        <v>2350000</v>
      </c>
      <c r="S8" s="7">
        <f>Manpower!O23</f>
        <v>2350000</v>
      </c>
      <c r="T8" s="7">
        <f>Manpower!P23</f>
        <v>2350000</v>
      </c>
      <c r="U8" s="7">
        <f>Manpower!Q23</f>
        <v>2350000</v>
      </c>
      <c r="V8" s="7">
        <f>Manpower!R23</f>
        <v>2350000</v>
      </c>
      <c r="W8" s="7">
        <f>Manpower!S23</f>
        <v>1606000</v>
      </c>
      <c r="X8" s="7">
        <f>Manpower!T23</f>
        <v>1606000</v>
      </c>
      <c r="Y8" s="7">
        <f>Manpower!U23</f>
        <v>1947000.0000000002</v>
      </c>
      <c r="Z8" s="7">
        <f>Manpower!V23</f>
        <v>1606000</v>
      </c>
      <c r="AA8" s="7">
        <f>Manpower!W23</f>
        <v>1606000</v>
      </c>
      <c r="AB8" s="7">
        <f>Manpower!X23</f>
        <v>1397000</v>
      </c>
      <c r="AC8" s="7">
        <f>Manpower!Y23</f>
        <v>1606000</v>
      </c>
      <c r="AD8" s="7">
        <f>Manpower!Z23</f>
        <v>1606000</v>
      </c>
      <c r="AE8" s="7">
        <f>Manpower!AA23</f>
        <v>1606000</v>
      </c>
      <c r="AF8" s="7">
        <f>Manpower!AB23</f>
        <v>1947000.0000000002</v>
      </c>
      <c r="AG8" s="7">
        <f>Manpower!AC23</f>
        <v>2156000</v>
      </c>
      <c r="AH8" s="7">
        <f>Manpower!AD23</f>
        <v>2156000</v>
      </c>
      <c r="AI8" s="7">
        <f>Manpower!AE23</f>
        <v>2371600.0000000005</v>
      </c>
      <c r="AJ8" s="7">
        <f>Manpower!AF23</f>
        <v>2371600.0000000005</v>
      </c>
      <c r="AK8" s="7">
        <f>Manpower!AG23</f>
        <v>2371600.0000000005</v>
      </c>
      <c r="AL8" s="7">
        <f>Manpower!AH23</f>
        <v>2371600.0000000005</v>
      </c>
      <c r="AM8" s="7">
        <f>Manpower!AI23</f>
        <v>2371600.0000000005</v>
      </c>
      <c r="AN8" s="7">
        <f>Manpower!AJ23</f>
        <v>2371600.0000000005</v>
      </c>
      <c r="AO8" s="7">
        <f>Manpower!AK23</f>
        <v>2371600.0000000005</v>
      </c>
      <c r="AP8" s="7">
        <f>Manpower!AL23</f>
        <v>2371600.0000000005</v>
      </c>
      <c r="AQ8" s="7">
        <f>Manpower!AM23</f>
        <v>2722500.0000000005</v>
      </c>
      <c r="AR8" s="7">
        <f>Manpower!AN23</f>
        <v>2371600.0000000005</v>
      </c>
      <c r="AS8" s="7">
        <f>Manpower!AO23</f>
        <v>2371600.0000000005</v>
      </c>
      <c r="AT8" s="7">
        <f>Manpower!AP23</f>
        <v>2371600.0000000005</v>
      </c>
      <c r="AV8" s="7">
        <f>Manpower!AU23</f>
        <v>56700600.000000015</v>
      </c>
      <c r="AW8" s="7">
        <f>Manpower!AV23</f>
        <v>79588476.00000003</v>
      </c>
    </row>
    <row r="9" spans="1:49" ht="14.45">
      <c r="H9" s="63" t="s">
        <v>124</v>
      </c>
      <c r="I9" s="26" t="s">
        <v>63</v>
      </c>
      <c r="J9" s="27"/>
      <c r="K9" s="7">
        <f>Manpower!G51</f>
        <v>21</v>
      </c>
      <c r="L9" s="7">
        <f>Manpower!H51</f>
        <v>21</v>
      </c>
      <c r="M9" s="7">
        <f>Manpower!I51</f>
        <v>21</v>
      </c>
      <c r="N9" s="7">
        <f>Manpower!J51</f>
        <v>29.5</v>
      </c>
      <c r="O9" s="7">
        <f>Manpower!K51</f>
        <v>29.5</v>
      </c>
      <c r="P9" s="7">
        <f>Manpower!L51</f>
        <v>34.333333333333329</v>
      </c>
      <c r="Q9" s="7">
        <f>Manpower!M51</f>
        <v>35.333333333333329</v>
      </c>
      <c r="R9" s="7">
        <f>Manpower!N51</f>
        <v>43.166666666666671</v>
      </c>
      <c r="S9" s="7">
        <f>Manpower!O51</f>
        <v>43.166666666666671</v>
      </c>
      <c r="T9" s="7">
        <f>Manpower!P51</f>
        <v>43.166666666666671</v>
      </c>
      <c r="U9" s="7">
        <f>Manpower!Q51</f>
        <v>43.166666666666671</v>
      </c>
      <c r="V9" s="7">
        <f>Manpower!R51</f>
        <v>43.166666666666671</v>
      </c>
      <c r="W9" s="7">
        <f>Manpower!S51</f>
        <v>34</v>
      </c>
      <c r="X9" s="7">
        <f>Manpower!T51</f>
        <v>34</v>
      </c>
      <c r="Y9" s="7">
        <f>Manpower!U51</f>
        <v>37</v>
      </c>
      <c r="Z9" s="7">
        <f>Manpower!V51</f>
        <v>34</v>
      </c>
      <c r="AA9" s="7">
        <f>Manpower!W51</f>
        <v>34</v>
      </c>
      <c r="AB9" s="7">
        <f>Manpower!X51</f>
        <v>32</v>
      </c>
      <c r="AC9" s="7">
        <f>Manpower!Y51</f>
        <v>34</v>
      </c>
      <c r="AD9" s="7">
        <f>Manpower!Z51</f>
        <v>34</v>
      </c>
      <c r="AE9" s="7">
        <f>Manpower!AA51</f>
        <v>34</v>
      </c>
      <c r="AF9" s="7">
        <f>Manpower!AB51</f>
        <v>37</v>
      </c>
      <c r="AG9" s="7">
        <f>Manpower!AC51</f>
        <v>39</v>
      </c>
      <c r="AH9" s="7">
        <f>Manpower!AD51</f>
        <v>39</v>
      </c>
      <c r="AI9" s="7">
        <f>Manpower!AE51</f>
        <v>40</v>
      </c>
      <c r="AJ9" s="7">
        <f>Manpower!AF51</f>
        <v>40</v>
      </c>
      <c r="AK9" s="7">
        <f>Manpower!AG51</f>
        <v>40</v>
      </c>
      <c r="AL9" s="7">
        <f>Manpower!AH51</f>
        <v>40</v>
      </c>
      <c r="AM9" s="7">
        <f>Manpower!AI51</f>
        <v>40</v>
      </c>
      <c r="AN9" s="7">
        <f>Manpower!AJ51</f>
        <v>40</v>
      </c>
      <c r="AO9" s="7">
        <f>Manpower!AK51</f>
        <v>40</v>
      </c>
      <c r="AP9" s="7">
        <f>Manpower!AL51</f>
        <v>40</v>
      </c>
      <c r="AQ9" s="7">
        <f>Manpower!AM51</f>
        <v>43</v>
      </c>
      <c r="AR9" s="7">
        <f>Manpower!AN51</f>
        <v>40</v>
      </c>
      <c r="AS9" s="7">
        <f>Manpower!AO51</f>
        <v>40</v>
      </c>
      <c r="AT9" s="7">
        <f>Manpower!AP51</f>
        <v>40</v>
      </c>
      <c r="AU9" s="7"/>
      <c r="AV9" s="7">
        <f>Manpower!AU51</f>
        <v>59.5</v>
      </c>
      <c r="AW9" s="7">
        <f>Manpower!AV51</f>
        <v>69.5</v>
      </c>
    </row>
    <row r="10" spans="1:49" ht="14.45">
      <c r="E10" s="29"/>
    </row>
    <row r="11" spans="1:49" ht="14.45">
      <c r="A11" s="31" t="s">
        <v>125</v>
      </c>
      <c r="B11" s="106" t="s">
        <v>126</v>
      </c>
      <c r="C11" s="114"/>
      <c r="D11" s="115"/>
      <c r="E11" s="106" t="s">
        <v>127</v>
      </c>
      <c r="F11" s="115"/>
      <c r="I11" s="26"/>
      <c r="J11" s="27"/>
    </row>
    <row r="12" spans="1:49" ht="15.6">
      <c r="A12" s="81" t="s">
        <v>128</v>
      </c>
      <c r="B12" s="32" t="s">
        <v>4</v>
      </c>
      <c r="C12" s="32" t="s">
        <v>5</v>
      </c>
      <c r="D12" s="32" t="s">
        <v>6</v>
      </c>
      <c r="E12" s="33" t="s">
        <v>7</v>
      </c>
      <c r="F12" s="34" t="s">
        <v>8</v>
      </c>
      <c r="I12" s="26"/>
      <c r="J12" s="27"/>
      <c r="K12" s="7"/>
    </row>
    <row r="13" spans="1:49" ht="14.45">
      <c r="A13" s="35" t="s">
        <v>129</v>
      </c>
      <c r="B13" s="19">
        <v>4500</v>
      </c>
      <c r="C13" s="19">
        <f t="shared" ref="C13:D13" si="0">B13*1.1</f>
        <v>4950</v>
      </c>
      <c r="D13" s="19">
        <f t="shared" si="0"/>
        <v>5445</v>
      </c>
      <c r="E13" s="19">
        <f>D13*12*1.1</f>
        <v>71874</v>
      </c>
      <c r="F13" s="19">
        <f t="shared" ref="F13" si="1">E13*1.1</f>
        <v>79061.400000000009</v>
      </c>
      <c r="H13" s="35" t="s">
        <v>129</v>
      </c>
      <c r="I13" s="26"/>
      <c r="J13" s="27"/>
      <c r="K13" s="7">
        <f>K9*('COGS Buildup'!$B$13-10)</f>
        <v>94290</v>
      </c>
      <c r="L13" s="7">
        <f>L9*('COGS Buildup'!$B$13-10)</f>
        <v>94290</v>
      </c>
      <c r="M13" s="7">
        <f>M9*('COGS Buildup'!$B$13-10)</f>
        <v>94290</v>
      </c>
      <c r="N13" s="7">
        <f>N9*('COGS Buildup'!$B$13-10)</f>
        <v>132455</v>
      </c>
      <c r="O13" s="7">
        <f>O9*('COGS Buildup'!$B$13-10)</f>
        <v>132455</v>
      </c>
      <c r="P13" s="7">
        <f>P9*('COGS Buildup'!$B$13-10)</f>
        <v>154156.66666666666</v>
      </c>
      <c r="Q13" s="7">
        <f>Q9*('COGS Buildup'!$B$13-10)</f>
        <v>158646.66666666666</v>
      </c>
      <c r="R13" s="7">
        <f>R9*('COGS Buildup'!$B$13-10)</f>
        <v>193818.33333333334</v>
      </c>
      <c r="S13" s="7">
        <f>S9*('COGS Buildup'!$B$13-10)</f>
        <v>193818.33333333334</v>
      </c>
      <c r="T13" s="7">
        <f>T9*('COGS Buildup'!$B$13-10)</f>
        <v>193818.33333333334</v>
      </c>
      <c r="U13" s="7">
        <f>U9*('COGS Buildup'!$B$13-10)</f>
        <v>193818.33333333334</v>
      </c>
      <c r="V13" s="7">
        <f>V9*('COGS Buildup'!$B$13-10)</f>
        <v>193818.33333333334</v>
      </c>
      <c r="W13" s="7">
        <f>W9*('COGS Buildup'!$C$13-10)</f>
        <v>167960</v>
      </c>
      <c r="X13" s="7">
        <f>X9*('COGS Buildup'!$C$13-10)</f>
        <v>167960</v>
      </c>
      <c r="Y13" s="7">
        <f>Y9*('COGS Buildup'!$C$13-10)</f>
        <v>182780</v>
      </c>
      <c r="Z13" s="7">
        <f>Z9*('COGS Buildup'!$C$13-10)</f>
        <v>167960</v>
      </c>
      <c r="AA13" s="7">
        <f>AA9*('COGS Buildup'!$C$13-10)</f>
        <v>167960</v>
      </c>
      <c r="AB13" s="7">
        <f>AB9*('COGS Buildup'!$C$13-10)</f>
        <v>158080</v>
      </c>
      <c r="AC13" s="7">
        <f>AC9*('COGS Buildup'!$C$13-10)</f>
        <v>167960</v>
      </c>
      <c r="AD13" s="7">
        <f>AD9*('COGS Buildup'!$C$13-10)</f>
        <v>167960</v>
      </c>
      <c r="AE13" s="7">
        <f>AE9*('COGS Buildup'!$C$13-10)</f>
        <v>167960</v>
      </c>
      <c r="AF13" s="7">
        <f>AF9*('COGS Buildup'!$C$13-10)</f>
        <v>182780</v>
      </c>
      <c r="AG13" s="7">
        <f>AG9*('COGS Buildup'!$C$13-10)</f>
        <v>192660</v>
      </c>
      <c r="AH13" s="7">
        <f>AH9*('COGS Buildup'!$C$13-10)</f>
        <v>192660</v>
      </c>
      <c r="AI13" s="7">
        <f>AI9*('COGS Buildup'!$D$13-10)</f>
        <v>217400</v>
      </c>
      <c r="AJ13" s="7">
        <f>AJ9*('COGS Buildup'!$D$13-10)</f>
        <v>217400</v>
      </c>
      <c r="AK13" s="7">
        <f>AK9*('COGS Buildup'!$D$13-10)</f>
        <v>217400</v>
      </c>
      <c r="AL13" s="7">
        <f>AL9*('COGS Buildup'!$D$13-10)</f>
        <v>217400</v>
      </c>
      <c r="AM13" s="7">
        <f>AM9*('COGS Buildup'!$D$13-10)</f>
        <v>217400</v>
      </c>
      <c r="AN13" s="7">
        <f>AN9*('COGS Buildup'!$D$13-10)</f>
        <v>217400</v>
      </c>
      <c r="AO13" s="7">
        <f>AO9*('COGS Buildup'!$D$13-10)</f>
        <v>217400</v>
      </c>
      <c r="AP13" s="7">
        <f>AP9*('COGS Buildup'!$D$13-10)</f>
        <v>217400</v>
      </c>
      <c r="AQ13" s="7">
        <f>AQ9*('COGS Buildup'!$D$13-10)</f>
        <v>233705</v>
      </c>
      <c r="AR13" s="7">
        <f>AR9*('COGS Buildup'!$D$13-10)</f>
        <v>217400</v>
      </c>
      <c r="AS13" s="7">
        <f>AS9*('COGS Buildup'!$D$13-10)</f>
        <v>217400</v>
      </c>
      <c r="AT13" s="7">
        <f>AT9*('COGS Buildup'!$D$13-10)</f>
        <v>217400</v>
      </c>
      <c r="AU13" s="7"/>
      <c r="AV13" s="7">
        <f>E13*(AV9-10)</f>
        <v>3557763</v>
      </c>
      <c r="AW13" s="7">
        <f>F13*(AW9-10)</f>
        <v>4704153.3000000007</v>
      </c>
    </row>
    <row r="14" spans="1:49" ht="14.45">
      <c r="A14" s="29" t="s">
        <v>130</v>
      </c>
      <c r="B14" s="19">
        <v>800</v>
      </c>
      <c r="C14" s="19">
        <f t="shared" ref="C14:D14" si="2">B14*1.1</f>
        <v>880.00000000000011</v>
      </c>
      <c r="D14" s="19">
        <f t="shared" si="2"/>
        <v>968.00000000000023</v>
      </c>
      <c r="E14" s="19">
        <f t="shared" ref="E14" si="3">D14*1.1*12</f>
        <v>12777.600000000006</v>
      </c>
      <c r="F14" s="19">
        <f>E14*1.1</f>
        <v>14055.360000000008</v>
      </c>
      <c r="H14" s="29" t="s">
        <v>130</v>
      </c>
      <c r="I14" s="26"/>
      <c r="J14" s="27"/>
      <c r="K14" s="7">
        <f>K9*'COGS Buildup'!$B$14</f>
        <v>16800</v>
      </c>
      <c r="L14" s="7">
        <f>L9*'COGS Buildup'!$B$14</f>
        <v>16800</v>
      </c>
      <c r="M14" s="7">
        <f>M9*'COGS Buildup'!$B$14</f>
        <v>16800</v>
      </c>
      <c r="N14" s="7">
        <f>N9*'COGS Buildup'!$B$14</f>
        <v>23600</v>
      </c>
      <c r="O14" s="7">
        <f>O9*'COGS Buildup'!$B$14</f>
        <v>23600</v>
      </c>
      <c r="P14" s="7">
        <f>P9*'COGS Buildup'!$B$14</f>
        <v>27466.666666666664</v>
      </c>
      <c r="Q14" s="7">
        <f>Q9*'COGS Buildup'!$B$14</f>
        <v>28266.666666666664</v>
      </c>
      <c r="R14" s="7">
        <f>R9*'COGS Buildup'!$B$14</f>
        <v>34533.333333333336</v>
      </c>
      <c r="S14" s="7">
        <f>S9*'COGS Buildup'!$B$14</f>
        <v>34533.333333333336</v>
      </c>
      <c r="T14" s="7">
        <f>T9*'COGS Buildup'!$B$14</f>
        <v>34533.333333333336</v>
      </c>
      <c r="U14" s="7">
        <f>U9*'COGS Buildup'!$B$14</f>
        <v>34533.333333333336</v>
      </c>
      <c r="V14" s="7">
        <f>V9*'COGS Buildup'!$B$14</f>
        <v>34533.333333333336</v>
      </c>
      <c r="W14" s="7">
        <f>W9*'COGS Buildup'!$C$14</f>
        <v>29920.000000000004</v>
      </c>
      <c r="X14" s="7">
        <f>X9*'COGS Buildup'!$C$14</f>
        <v>29920.000000000004</v>
      </c>
      <c r="Y14" s="7">
        <f>Y9*'COGS Buildup'!$C$14</f>
        <v>32560.000000000004</v>
      </c>
      <c r="Z14" s="7">
        <f>Z9*'COGS Buildup'!$C$14</f>
        <v>29920.000000000004</v>
      </c>
      <c r="AA14" s="7">
        <f>AA9*'COGS Buildup'!$C$14</f>
        <v>29920.000000000004</v>
      </c>
      <c r="AB14" s="7">
        <f>AB9*'COGS Buildup'!$C$14</f>
        <v>28160.000000000004</v>
      </c>
      <c r="AC14" s="7">
        <f>AC9*'COGS Buildup'!$C$14</f>
        <v>29920.000000000004</v>
      </c>
      <c r="AD14" s="7">
        <f>AD9*'COGS Buildup'!$C$14</f>
        <v>29920.000000000004</v>
      </c>
      <c r="AE14" s="7">
        <f>AE9*'COGS Buildup'!$C$14</f>
        <v>29920.000000000004</v>
      </c>
      <c r="AF14" s="7">
        <f>AF9*'COGS Buildup'!$C$14</f>
        <v>32560.000000000004</v>
      </c>
      <c r="AG14" s="7">
        <f>AG9*'COGS Buildup'!$C$14</f>
        <v>34320.000000000007</v>
      </c>
      <c r="AH14" s="7">
        <f>AH9*'COGS Buildup'!$C$14</f>
        <v>34320.000000000007</v>
      </c>
      <c r="AI14" s="7">
        <f>AI9*'COGS Buildup'!$D$14</f>
        <v>38720.000000000007</v>
      </c>
      <c r="AJ14" s="7">
        <f>AJ9*'COGS Buildup'!$D$14</f>
        <v>38720.000000000007</v>
      </c>
      <c r="AK14" s="7">
        <f>AK9*'COGS Buildup'!$D$14</f>
        <v>38720.000000000007</v>
      </c>
      <c r="AL14" s="7">
        <f>AL9*'COGS Buildup'!$D$14</f>
        <v>38720.000000000007</v>
      </c>
      <c r="AM14" s="7">
        <f>AM9*'COGS Buildup'!$D$14</f>
        <v>38720.000000000007</v>
      </c>
      <c r="AN14" s="7">
        <f>AN9*'COGS Buildup'!$D$14</f>
        <v>38720.000000000007</v>
      </c>
      <c r="AO14" s="7">
        <f>AO9*'COGS Buildup'!$D$14</f>
        <v>38720.000000000007</v>
      </c>
      <c r="AP14" s="7">
        <f>AP9*'COGS Buildup'!$D$14</f>
        <v>38720.000000000007</v>
      </c>
      <c r="AQ14" s="7">
        <f>AQ9*'COGS Buildup'!$D$14</f>
        <v>41624.000000000007</v>
      </c>
      <c r="AR14" s="7">
        <f>AR9*'COGS Buildup'!$D$14</f>
        <v>38720.000000000007</v>
      </c>
      <c r="AS14" s="7">
        <f>AS9*'COGS Buildup'!$D$14</f>
        <v>38720.000000000007</v>
      </c>
      <c r="AT14" s="7">
        <f>AT9*'COGS Buildup'!$D$14</f>
        <v>38720.000000000007</v>
      </c>
      <c r="AU14" s="7"/>
      <c r="AV14" s="7">
        <f>E14*AV9</f>
        <v>760267.2000000003</v>
      </c>
      <c r="AW14" s="7">
        <f>F14*AW9</f>
        <v>976847.5200000006</v>
      </c>
    </row>
    <row r="16" spans="1:49" ht="15" customHeight="1">
      <c r="B16" s="89" t="s">
        <v>131</v>
      </c>
      <c r="C16" s="89" t="s">
        <v>132</v>
      </c>
      <c r="D16" s="89" t="s">
        <v>133</v>
      </c>
    </row>
    <row r="17" spans="1:49" ht="14.45">
      <c r="A17" s="35" t="s">
        <v>134</v>
      </c>
      <c r="B17" s="58">
        <v>0.09</v>
      </c>
      <c r="C17" s="58">
        <v>0.3</v>
      </c>
      <c r="D17" s="58">
        <v>0.5</v>
      </c>
      <c r="E17" s="53"/>
      <c r="F17" s="53"/>
      <c r="H17" s="35" t="s">
        <v>134</v>
      </c>
      <c r="I17" s="26"/>
      <c r="J17" s="27"/>
      <c r="K17" s="7">
        <f>SUM(($B17*'Revenue Buildup'!E12),('COGS Buildup'!$C17*'Revenue Buildup'!E22),('COGS Buildup'!$D17*'Revenue Buildup'!E29))</f>
        <v>135000</v>
      </c>
      <c r="L17" s="7">
        <f>SUM(($B17*'Revenue Buildup'!F12),('COGS Buildup'!$C17*'Revenue Buildup'!F22),('COGS Buildup'!$D17*'Revenue Buildup'!F29))</f>
        <v>149700</v>
      </c>
      <c r="M17" s="7">
        <f>SUM(($B17*'Revenue Buildup'!G12),('COGS Buildup'!$C17*'Revenue Buildup'!G22),('COGS Buildup'!$D17*'Revenue Buildup'!G29))</f>
        <v>160200</v>
      </c>
      <c r="N17" s="7">
        <f>SUM(($B17*'Revenue Buildup'!H12),('COGS Buildup'!$C17*'Revenue Buildup'!H22),('COGS Buildup'!$D17*'Revenue Buildup'!H29))</f>
        <v>171750</v>
      </c>
      <c r="O17" s="7">
        <f>SUM(($B17*'Revenue Buildup'!I12),('COGS Buildup'!$C17*'Revenue Buildup'!I22),('COGS Buildup'!$D17*'Revenue Buildup'!I29))</f>
        <v>319350</v>
      </c>
      <c r="P17" s="7">
        <f>SUM(($B17*'Revenue Buildup'!J12),('COGS Buildup'!$C17*'Revenue Buildup'!J22),('COGS Buildup'!$D17*'Revenue Buildup'!J29))</f>
        <v>198000</v>
      </c>
      <c r="Q17" s="7">
        <f>SUM(($B17*'Revenue Buildup'!K12),('COGS Buildup'!$C17*'Revenue Buildup'!K22),('COGS Buildup'!$D17*'Revenue Buildup'!K29))</f>
        <v>349800</v>
      </c>
      <c r="R17" s="7">
        <f>SUM(($B17*'Revenue Buildup'!L12),('COGS Buildup'!$C17*'Revenue Buildup'!L22),('COGS Buildup'!$D17*'Revenue Buildup'!L29))</f>
        <v>372700</v>
      </c>
      <c r="S17" s="7">
        <f>SUM(($B17*'Revenue Buildup'!M12),('COGS Buildup'!$C17*'Revenue Buildup'!M22),('COGS Buildup'!$D17*'Revenue Buildup'!M29))</f>
        <v>259500</v>
      </c>
      <c r="T17" s="7">
        <f>SUM(($B17*'Revenue Buildup'!N12),('COGS Buildup'!$C17*'Revenue Buildup'!N22),('COGS Buildup'!$D17*'Revenue Buildup'!N29))</f>
        <v>421710</v>
      </c>
      <c r="U17" s="7">
        <f>SUM(($B17*'Revenue Buildup'!O12),('COGS Buildup'!$C17*'Revenue Buildup'!O22),('COGS Buildup'!$D17*'Revenue Buildup'!O29))</f>
        <v>451212</v>
      </c>
      <c r="V17" s="7">
        <f>SUM(($B17*'Revenue Buildup'!P12),('COGS Buildup'!$C17*'Revenue Buildup'!P22),('COGS Buildup'!$D17*'Revenue Buildup'!P29))</f>
        <v>483044.4</v>
      </c>
      <c r="W17" s="7">
        <f>SUM(($B17*'Revenue Buildup'!Q12),('COGS Buildup'!$C17*'Revenue Buildup'!Q22),('COGS Buildup'!$D17*'Revenue Buildup'!Q29))</f>
        <v>505630.94400000002</v>
      </c>
      <c r="X17" s="7">
        <f>SUM(($B17*'Revenue Buildup'!R12),('COGS Buildup'!$C17*'Revenue Buildup'!R22),('COGS Buildup'!$D17*'Revenue Buildup'!R29))</f>
        <v>694673.63280000002</v>
      </c>
      <c r="Y17" s="7">
        <f>SUM(($B17*'Revenue Buildup'!S12),('COGS Buildup'!$C17*'Revenue Buildup'!S22),('COGS Buildup'!$D17*'Revenue Buildup'!S29))</f>
        <v>463294.35936</v>
      </c>
      <c r="Z17" s="7">
        <f>SUM(($B17*'Revenue Buildup'!T12),('COGS Buildup'!$C17*'Revenue Buildup'!T22),('COGS Buildup'!$D17*'Revenue Buildup'!T29))</f>
        <v>667589.23123200005</v>
      </c>
      <c r="AA17" s="7">
        <f>SUM(($B17*'Revenue Buildup'!U12),('COGS Buildup'!$C17*'Revenue Buildup'!U22),('COGS Buildup'!$D17*'Revenue Buildup'!U29))</f>
        <v>738453.57747839997</v>
      </c>
      <c r="AB17" s="7">
        <f>SUM(($B17*'Revenue Buildup'!V12),('COGS Buildup'!$C17*'Revenue Buildup'!V22),('COGS Buildup'!$D17*'Revenue Buildup'!V29))</f>
        <v>816655.29297407996</v>
      </c>
      <c r="AC17" s="7">
        <f>SUM(($B17*'Revenue Buildup'!W12),('COGS Buildup'!$C17*'Revenue Buildup'!W22),('COGS Buildup'!$D17*'Revenue Buildup'!W29))</f>
        <v>910056.35156889597</v>
      </c>
      <c r="AD17" s="7">
        <f>SUM(($B17*'Revenue Buildup'!X12),('COGS Buildup'!$C17*'Revenue Buildup'!X22),('COGS Buildup'!$D17*'Revenue Buildup'!X29))</f>
        <v>1017727.6218826752</v>
      </c>
      <c r="AE17" s="7">
        <f>SUM(($B17*'Revenue Buildup'!Y12),('COGS Buildup'!$C17*'Revenue Buildup'!Y22),('COGS Buildup'!$D17*'Revenue Buildup'!Y29))</f>
        <v>1278319.6462592103</v>
      </c>
      <c r="AF17" s="7">
        <f>SUM(($B17*'Revenue Buildup'!Z12),('COGS Buildup'!$C17*'Revenue Buildup'!Z22),('COGS Buildup'!$D17*'Revenue Buildup'!Z29))</f>
        <v>1421812.0755110523</v>
      </c>
      <c r="AG17" s="7">
        <f>SUM(($B17*'Revenue Buildup'!AA12),('COGS Buildup'!$C17*'Revenue Buildup'!AA22),('COGS Buildup'!$D17*'Revenue Buildup'!AA29))</f>
        <v>1441889.4906132626</v>
      </c>
      <c r="AH17" s="7">
        <f>SUM(($B17*'Revenue Buildup'!AB12),('COGS Buildup'!$C17*'Revenue Buildup'!AB22),('COGS Buildup'!$D17*'Revenue Buildup'!AB29))</f>
        <v>1763058.8887359153</v>
      </c>
      <c r="AI17" s="7">
        <f>SUM(($B17*'Revenue Buildup'!AC12),('COGS Buildup'!$C17*'Revenue Buildup'!AC22),('COGS Buildup'!$D17*'Revenue Buildup'!AC29))</f>
        <v>1811952.6248072532</v>
      </c>
      <c r="AJ17" s="7">
        <f>SUM(($B17*'Revenue Buildup'!AD12),('COGS Buildup'!$C17*'Revenue Buildup'!AD22),('COGS Buildup'!$D17*'Revenue Buildup'!AD29))</f>
        <v>1919996.3997687038</v>
      </c>
      <c r="AK17" s="7">
        <f>SUM(($B17*'Revenue Buildup'!AE12),('COGS Buildup'!$C17*'Revenue Buildup'!AE22),('COGS Buildup'!$D17*'Revenue Buildup'!AE29))</f>
        <v>2358569.4297224446</v>
      </c>
      <c r="AL17" s="7">
        <f>SUM(($B17*'Revenue Buildup'!AF12),('COGS Buildup'!$C17*'Revenue Buildup'!AF22),('COGS Buildup'!$D17*'Revenue Buildup'!AF29))</f>
        <v>2687730.0656669335</v>
      </c>
      <c r="AM17" s="7">
        <f>SUM(($B17*'Revenue Buildup'!AG12),('COGS Buildup'!$C17*'Revenue Buildup'!AG22),('COGS Buildup'!$D17*'Revenue Buildup'!AG29))</f>
        <v>2929254.8288003202</v>
      </c>
      <c r="AN17" s="7">
        <f>SUM(($B17*'Revenue Buildup'!AH12),('COGS Buildup'!$C17*'Revenue Buildup'!AH22),('COGS Buildup'!$D17*'Revenue Buildup'!AH29))</f>
        <v>3529625.7195603843</v>
      </c>
      <c r="AO17" s="7">
        <f>SUM(($B17*'Revenue Buildup'!AI12),('COGS Buildup'!$C17*'Revenue Buildup'!AI22),('COGS Buildup'!$D17*'Revenue Buildup'!AI29))</f>
        <v>4041367.538472461</v>
      </c>
      <c r="AP17" s="7">
        <f>SUM(($B17*'Revenue Buildup'!AJ12),('COGS Buildup'!$C17*'Revenue Buildup'!AJ22),('COGS Buildup'!$D17*'Revenue Buildup'!AJ29))</f>
        <v>4632305.2211669534</v>
      </c>
      <c r="AQ17" s="7">
        <f>SUM(($B17*'Revenue Buildup'!AK12),('COGS Buildup'!$C17*'Revenue Buildup'!AK22),('COGS Buildup'!$D17*'Revenue Buildup'!AK29))</f>
        <v>5160179.4404003443</v>
      </c>
      <c r="AR17" s="7">
        <f>SUM(($B17*'Revenue Buildup'!AL12),('COGS Buildup'!$C17*'Revenue Buildup'!AL22),('COGS Buildup'!$D17*'Revenue Buildup'!AL29))</f>
        <v>6129405.9034804124</v>
      </c>
      <c r="AS17" s="7">
        <f>SUM(($B17*'Revenue Buildup'!AM12),('COGS Buildup'!$C17*'Revenue Buildup'!AM22),('COGS Buildup'!$D17*'Revenue Buildup'!AM29))</f>
        <v>7029134.5091764955</v>
      </c>
      <c r="AT17" s="7">
        <f>SUM(($B17*'Revenue Buildup'!AN12),('COGS Buildup'!$C17*'Revenue Buildup'!AN22),('COGS Buildup'!$D17*'Revenue Buildup'!AN29))</f>
        <v>6812268.8360117944</v>
      </c>
      <c r="AV17" s="7">
        <f>SUM(($B17*'Revenue Buildup'!AS12),('COGS Buildup'!$C17*'Revenue Buildup'!AS22),('COGS Buildup'!$D17*'Revenue Buildup'!AS29))</f>
        <v>29625924.059857782</v>
      </c>
      <c r="AW17" s="7">
        <f>SUM(($B17*'Revenue Buildup'!AT12),('COGS Buildup'!$C17*'Revenue Buildup'!AT22),('COGS Buildup'!$D17*'Revenue Buildup'!AT29))</f>
        <v>98636884.358719602</v>
      </c>
    </row>
    <row r="18" spans="1:49" ht="14.45">
      <c r="A18" s="29" t="s">
        <v>135</v>
      </c>
      <c r="B18" s="58">
        <v>0.01</v>
      </c>
      <c r="C18" s="58">
        <v>0.05</v>
      </c>
      <c r="D18" s="58">
        <v>0.25</v>
      </c>
      <c r="E18" s="53"/>
      <c r="F18" s="53"/>
      <c r="H18" s="29" t="s">
        <v>135</v>
      </c>
      <c r="I18" s="26"/>
      <c r="J18" s="27"/>
      <c r="K18" s="7">
        <f>SUM(($B18*'Revenue Buildup'!E12),('COGS Buildup'!$C18*'Revenue Buildup'!E22),('COGS Buildup'!$D18*'Revenue Buildup'!E29))</f>
        <v>15000</v>
      </c>
      <c r="L18" s="7">
        <f>SUM(($B18*'Revenue Buildup'!F12),('COGS Buildup'!$C18*'Revenue Buildup'!F22),('COGS Buildup'!$D18*'Revenue Buildup'!F29))</f>
        <v>17450</v>
      </c>
      <c r="M18" s="7">
        <f>SUM(($B18*'Revenue Buildup'!G12),('COGS Buildup'!$C18*'Revenue Buildup'!G22),('COGS Buildup'!$D18*'Revenue Buildup'!G29))</f>
        <v>19200</v>
      </c>
      <c r="N18" s="7">
        <f>SUM(($B18*'Revenue Buildup'!H12),('COGS Buildup'!$C18*'Revenue Buildup'!H22),('COGS Buildup'!$D18*'Revenue Buildup'!H29))</f>
        <v>21125</v>
      </c>
      <c r="O18" s="7">
        <f>SUM(($B18*'Revenue Buildup'!I12),('COGS Buildup'!$C18*'Revenue Buildup'!I22),('COGS Buildup'!$D18*'Revenue Buildup'!I29))</f>
        <v>38225</v>
      </c>
      <c r="P18" s="7">
        <f>SUM(($B18*'Revenue Buildup'!J12),('COGS Buildup'!$C18*'Revenue Buildup'!J22),('COGS Buildup'!$D18*'Revenue Buildup'!J29))</f>
        <v>25500</v>
      </c>
      <c r="Q18" s="7">
        <f>SUM(($B18*'Revenue Buildup'!K12),('COGS Buildup'!$C18*'Revenue Buildup'!K22),('COGS Buildup'!$D18*'Revenue Buildup'!K29))</f>
        <v>43300</v>
      </c>
      <c r="R18" s="7">
        <f>SUM(($B18*'Revenue Buildup'!L12),('COGS Buildup'!$C18*'Revenue Buildup'!L22),('COGS Buildup'!$D18*'Revenue Buildup'!L29))</f>
        <v>48450</v>
      </c>
      <c r="S18" s="7">
        <f>SUM(($B18*'Revenue Buildup'!M12),('COGS Buildup'!$C18*'Revenue Buildup'!M22),('COGS Buildup'!$D18*'Revenue Buildup'!M29))</f>
        <v>37350</v>
      </c>
      <c r="T18" s="7">
        <f>SUM(($B18*'Revenue Buildup'!N12),('COGS Buildup'!$C18*'Revenue Buildup'!N22),('COGS Buildup'!$D18*'Revenue Buildup'!N29))</f>
        <v>57205</v>
      </c>
      <c r="U18" s="7">
        <f>SUM(($B18*'Revenue Buildup'!O12),('COGS Buildup'!$C18*'Revenue Buildup'!O22),('COGS Buildup'!$D18*'Revenue Buildup'!O29))</f>
        <v>62506</v>
      </c>
      <c r="V18" s="7">
        <f>SUM(($B18*'Revenue Buildup'!P12),('COGS Buildup'!$C18*'Revenue Buildup'!P22),('COGS Buildup'!$D18*'Revenue Buildup'!P29))</f>
        <v>68272.2</v>
      </c>
      <c r="W18" s="7">
        <f>SUM(($B18*'Revenue Buildup'!Q12),('COGS Buildup'!$C18*'Revenue Buildup'!Q22),('COGS Buildup'!$D18*'Revenue Buildup'!Q29))</f>
        <v>72005.471999999994</v>
      </c>
      <c r="X18" s="7">
        <f>SUM(($B18*'Revenue Buildup'!R12),('COGS Buildup'!$C18*'Revenue Buildup'!R22),('COGS Buildup'!$D18*'Revenue Buildup'!R29))</f>
        <v>96334.316399999996</v>
      </c>
      <c r="Y18" s="7">
        <f>SUM(($B18*'Revenue Buildup'!S12),('COGS Buildup'!$C18*'Revenue Buildup'!S22),('COGS Buildup'!$D18*'Revenue Buildup'!S29))</f>
        <v>74357.179680000001</v>
      </c>
      <c r="Z18" s="7">
        <f>SUM(($B18*'Revenue Buildup'!T12),('COGS Buildup'!$C18*'Revenue Buildup'!T22),('COGS Buildup'!$D18*'Revenue Buildup'!T29))</f>
        <v>101534.615616</v>
      </c>
      <c r="AA18" s="7">
        <f>SUM(($B18*'Revenue Buildup'!U12),('COGS Buildup'!$C18*'Revenue Buildup'!U22),('COGS Buildup'!$D18*'Revenue Buildup'!U29))</f>
        <v>114549.2887392</v>
      </c>
      <c r="AB18" s="7">
        <f>SUM(($B18*'Revenue Buildup'!V12),('COGS Buildup'!$C18*'Revenue Buildup'!V22),('COGS Buildup'!$D18*'Revenue Buildup'!V29))</f>
        <v>129027.64648703999</v>
      </c>
      <c r="AC18" s="7">
        <f>SUM(($B18*'Revenue Buildup'!W12),('COGS Buildup'!$C18*'Revenue Buildup'!W22),('COGS Buildup'!$D18*'Revenue Buildup'!W29))</f>
        <v>146328.17578444799</v>
      </c>
      <c r="AD18" s="7">
        <f>SUM(($B18*'Revenue Buildup'!X12),('COGS Buildup'!$C18*'Revenue Buildup'!X22),('COGS Buildup'!$D18*'Revenue Buildup'!X29))</f>
        <v>166353.81094133761</v>
      </c>
      <c r="AE18" s="7">
        <f>SUM(($B18*'Revenue Buildup'!Y12),('COGS Buildup'!$C18*'Revenue Buildup'!Y22),('COGS Buildup'!$D18*'Revenue Buildup'!Y29))</f>
        <v>204407.32312960512</v>
      </c>
      <c r="AF18" s="7">
        <f>SUM(($B18*'Revenue Buildup'!Z12),('COGS Buildup'!$C18*'Revenue Buildup'!Z22),('COGS Buildup'!$D18*'Revenue Buildup'!Z29))</f>
        <v>231318.53775552614</v>
      </c>
      <c r="AG18" s="7">
        <f>SUM(($B18*'Revenue Buildup'!AA12),('COGS Buildup'!$C18*'Revenue Buildup'!AA22),('COGS Buildup'!$D18*'Revenue Buildup'!AA29))</f>
        <v>246134.74530663138</v>
      </c>
      <c r="AH18" s="7">
        <f>SUM(($B18*'Revenue Buildup'!AB12),('COGS Buildup'!$C18*'Revenue Buildup'!AB22),('COGS Buildup'!$D18*'Revenue Buildup'!AB29))</f>
        <v>296101.94436795765</v>
      </c>
      <c r="AI18" s="7">
        <f>SUM(($B18*'Revenue Buildup'!AC12),('COGS Buildup'!$C18*'Revenue Buildup'!AC22),('COGS Buildup'!$D18*'Revenue Buildup'!AC29))</f>
        <v>309799.43740362662</v>
      </c>
      <c r="AJ18" s="7">
        <f>SUM(($B18*'Revenue Buildup'!AD12),('COGS Buildup'!$C18*'Revenue Buildup'!AD22),('COGS Buildup'!$D18*'Revenue Buildup'!AD29))</f>
        <v>342598.19988435192</v>
      </c>
      <c r="AK18" s="7">
        <f>SUM(($B18*'Revenue Buildup'!AE12),('COGS Buildup'!$C18*'Revenue Buildup'!AE22),('COGS Buildup'!$D18*'Revenue Buildup'!AE29))</f>
        <v>415252.21486122231</v>
      </c>
      <c r="AL18" s="7">
        <f>SUM(($B18*'Revenue Buildup'!AF12),('COGS Buildup'!$C18*'Revenue Buildup'!AF22),('COGS Buildup'!$D18*'Revenue Buildup'!AF29))</f>
        <v>479505.03283346677</v>
      </c>
      <c r="AM18" s="7">
        <f>SUM(($B18*'Revenue Buildup'!AG12),('COGS Buildup'!$C18*'Revenue Buildup'!AG22),('COGS Buildup'!$D18*'Revenue Buildup'!AG29))</f>
        <v>539299.16440016008</v>
      </c>
      <c r="AN18" s="7">
        <f>SUM(($B18*'Revenue Buildup'!AH12),('COGS Buildup'!$C18*'Revenue Buildup'!AH22),('COGS Buildup'!$D18*'Revenue Buildup'!AH29))</f>
        <v>644617.73478019214</v>
      </c>
      <c r="AO18" s="7">
        <f>SUM(($B18*'Revenue Buildup'!AI12),('COGS Buildup'!$C18*'Revenue Buildup'!AI22),('COGS Buildup'!$D18*'Revenue Buildup'!AI29))</f>
        <v>746138.64423623064</v>
      </c>
      <c r="AP18" s="7">
        <f>SUM(($B18*'Revenue Buildup'!AJ12),('COGS Buildup'!$C18*'Revenue Buildup'!AJ22),('COGS Buildup'!$D18*'Revenue Buildup'!AJ29))</f>
        <v>864104.98558347672</v>
      </c>
      <c r="AQ18" s="7">
        <f>SUM(($B18*'Revenue Buildup'!AK12),('COGS Buildup'!$C18*'Revenue Buildup'!AK22),('COGS Buildup'!$D18*'Revenue Buildup'!AK29))</f>
        <v>983724.84520017204</v>
      </c>
      <c r="AR18" s="7">
        <f>SUM(($B18*'Revenue Buildup'!AL12),('COGS Buildup'!$C18*'Revenue Buildup'!AL22),('COGS Buildup'!$D18*'Revenue Buildup'!AL29))</f>
        <v>1165040.3267402065</v>
      </c>
      <c r="AS18" s="7">
        <f>SUM(($B18*'Revenue Buildup'!AM12),('COGS Buildup'!$C18*'Revenue Buildup'!AM22),('COGS Buildup'!$D18*'Revenue Buildup'!AM29))</f>
        <v>1348650.8795882477</v>
      </c>
      <c r="AT18" s="7">
        <f>SUM(($B18*'Revenue Buildup'!AN12),('COGS Buildup'!$C18*'Revenue Buildup'!AN22),('COGS Buildup'!$D18*'Revenue Buildup'!AN29))</f>
        <v>1352893.5430058972</v>
      </c>
      <c r="AV18" s="7">
        <f>SUM(($B18*'Revenue Buildup'!AS12),('COGS Buildup'!$C18*'Revenue Buildup'!AS22),('COGS Buildup'!$D18*'Revenue Buildup'!AS29))</f>
        <v>6241211.9549288917</v>
      </c>
      <c r="AW18" s="7">
        <f>SUM(($B18*'Revenue Buildup'!AT12),('COGS Buildup'!$C18*'Revenue Buildup'!AT22),('COGS Buildup'!$D18*'Revenue Buildup'!AT29))</f>
        <v>18143563.306547299</v>
      </c>
    </row>
    <row r="19" spans="1:49" ht="14.45">
      <c r="A19" s="35" t="s">
        <v>136</v>
      </c>
      <c r="B19" s="58"/>
      <c r="C19" s="58">
        <v>0.05</v>
      </c>
      <c r="D19" s="19"/>
      <c r="E19" s="53"/>
      <c r="F19" s="53"/>
      <c r="H19" s="35" t="s">
        <v>136</v>
      </c>
      <c r="I19" s="26"/>
      <c r="J19" s="27"/>
      <c r="K19" s="7">
        <f>'COGS Buildup'!$C19*'Revenue Buildup'!E29</f>
        <v>0</v>
      </c>
      <c r="L19" s="7">
        <f>'COGS Buildup'!$C19*'Revenue Buildup'!F22</f>
        <v>2450</v>
      </c>
      <c r="M19" s="7">
        <f>'COGS Buildup'!$C19*'Revenue Buildup'!G22</f>
        <v>4200</v>
      </c>
      <c r="N19" s="7">
        <f>'COGS Buildup'!$C19*'Revenue Buildup'!H22</f>
        <v>6125</v>
      </c>
      <c r="O19" s="7">
        <f>'COGS Buildup'!$C19*'Revenue Buildup'!I22</f>
        <v>8225</v>
      </c>
      <c r="P19" s="7">
        <f>'COGS Buildup'!$C19*'Revenue Buildup'!J22</f>
        <v>10500</v>
      </c>
      <c r="Q19" s="7">
        <f>'COGS Buildup'!$C19*'Revenue Buildup'!K22</f>
        <v>13300</v>
      </c>
      <c r="R19" s="7">
        <f>'COGS Buildup'!$C19*'Revenue Buildup'!L22</f>
        <v>16450</v>
      </c>
      <c r="S19" s="7">
        <f>'COGS Buildup'!$C19*'Revenue Buildup'!M22</f>
        <v>19950</v>
      </c>
      <c r="T19" s="7">
        <f>'COGS Buildup'!$C19*'Revenue Buildup'!N22</f>
        <v>24325</v>
      </c>
      <c r="U19" s="7">
        <f>'COGS Buildup'!$C19*'Revenue Buildup'!O22</f>
        <v>29050</v>
      </c>
      <c r="V19" s="7">
        <f>'COGS Buildup'!$C19*'Revenue Buildup'!P22</f>
        <v>34125</v>
      </c>
      <c r="W19" s="7">
        <f>'COGS Buildup'!$C19*'Revenue Buildup'!Q22</f>
        <v>35280</v>
      </c>
      <c r="X19" s="7">
        <f>'COGS Buildup'!$C19*'Revenue Buildup'!R22</f>
        <v>42813.75</v>
      </c>
      <c r="Y19" s="7">
        <f>'COGS Buildup'!$C19*'Revenue Buildup'!S22</f>
        <v>51082.5</v>
      </c>
      <c r="Z19" s="7">
        <f>'COGS Buildup'!$C19*'Revenue Buildup'!T22</f>
        <v>61005</v>
      </c>
      <c r="AA19" s="7">
        <f>'COGS Buildup'!$C19*'Revenue Buildup'!U22</f>
        <v>72213.75</v>
      </c>
      <c r="AB19" s="7">
        <f>'COGS Buildup'!$C19*'Revenue Buildup'!V22</f>
        <v>84525</v>
      </c>
      <c r="AC19" s="7">
        <f>'COGS Buildup'!$C19*'Revenue Buildup'!W22</f>
        <v>99225</v>
      </c>
      <c r="AD19" s="7">
        <f>'COGS Buildup'!$C19*'Revenue Buildup'!X22</f>
        <v>116130</v>
      </c>
      <c r="AE19" s="7">
        <f>'COGS Buildup'!$C19*'Revenue Buildup'!Y22</f>
        <v>134688.75</v>
      </c>
      <c r="AF19" s="7">
        <f>'COGS Buildup'!$C19*'Revenue Buildup'!Z22</f>
        <v>157106.25</v>
      </c>
      <c r="AG19" s="7">
        <f>'COGS Buildup'!$C19*'Revenue Buildup'!AA22</f>
        <v>182280</v>
      </c>
      <c r="AH19" s="7">
        <f>'COGS Buildup'!$C19*'Revenue Buildup'!AB22</f>
        <v>210026.25</v>
      </c>
      <c r="AI19" s="7">
        <f>'COGS Buildup'!$C19*'Revenue Buildup'!AC22</f>
        <v>211266.5625</v>
      </c>
      <c r="AJ19" s="7">
        <f>'COGS Buildup'!$C19*'Revenue Buildup'!AD22</f>
        <v>250818.75</v>
      </c>
      <c r="AK19" s="7">
        <f>'COGS Buildup'!$C19*'Revenue Buildup'!AE22</f>
        <v>295194.375</v>
      </c>
      <c r="AL19" s="7">
        <f>'COGS Buildup'!$C19*'Revenue Buildup'!AF22</f>
        <v>345358.125</v>
      </c>
      <c r="AM19" s="7">
        <f>'COGS Buildup'!$C19*'Revenue Buildup'!AG22</f>
        <v>404782.875</v>
      </c>
      <c r="AN19" s="7">
        <f>'COGS Buildup'!$C19*'Revenue Buildup'!AH22</f>
        <v>473275.6875</v>
      </c>
      <c r="AO19" s="7">
        <f>'COGS Buildup'!$C19*'Revenue Buildup'!AI22</f>
        <v>550450.6875</v>
      </c>
      <c r="AP19" s="7">
        <f>'COGS Buildup'!$C19*'Revenue Buildup'!AJ22</f>
        <v>639201.9375</v>
      </c>
      <c r="AQ19" s="7">
        <f>'COGS Buildup'!$C19*'Revenue Buildup'!AK22</f>
        <v>740301.1875</v>
      </c>
      <c r="AR19" s="7">
        <f>'COGS Buildup'!$C19*'Revenue Buildup'!AL22</f>
        <v>863009.4375</v>
      </c>
      <c r="AS19" s="7">
        <f>'COGS Buildup'!$C19*'Revenue Buildup'!AM22</f>
        <v>996136.3125</v>
      </c>
      <c r="AT19" s="7">
        <f>'COGS Buildup'!$C19*'Revenue Buildup'!AN22</f>
        <v>939798.5625</v>
      </c>
      <c r="AV19" s="7">
        <f>'COGS Buildup'!$C19*'Revenue Buildup'!AS22</f>
        <v>2918430.5062500001</v>
      </c>
      <c r="AW19" s="7">
        <f>'COGS Buildup'!$C19*'Revenue Buildup'!AT22</f>
        <v>13768738.209843753</v>
      </c>
    </row>
    <row r="21" spans="1:49" ht="15" customHeight="1">
      <c r="B21" s="106" t="s">
        <v>126</v>
      </c>
      <c r="C21" s="114"/>
      <c r="D21" s="115"/>
      <c r="E21" s="106" t="s">
        <v>127</v>
      </c>
      <c r="F21" s="115"/>
    </row>
    <row r="22" spans="1:49" ht="15.75" customHeight="1">
      <c r="A22" s="81" t="s">
        <v>137</v>
      </c>
      <c r="B22" s="32" t="s">
        <v>4</v>
      </c>
      <c r="C22" s="32" t="s">
        <v>5</v>
      </c>
      <c r="D22" s="32" t="s">
        <v>6</v>
      </c>
      <c r="E22" s="33" t="s">
        <v>7</v>
      </c>
      <c r="F22" s="34" t="s">
        <v>8</v>
      </c>
      <c r="I22" s="26"/>
      <c r="J22" s="27"/>
    </row>
    <row r="23" spans="1:49" ht="15.75" customHeight="1">
      <c r="A23" s="35" t="s">
        <v>138</v>
      </c>
      <c r="B23" s="19">
        <v>960</v>
      </c>
      <c r="C23" s="19">
        <f t="shared" ref="C23:D23" si="4">B23*1.07</f>
        <v>1027.2</v>
      </c>
      <c r="D23" s="19">
        <f t="shared" si="4"/>
        <v>1099.104</v>
      </c>
      <c r="E23" s="19">
        <f t="shared" ref="E23:E25" si="5">D23*1.07*12</f>
        <v>14112.495360000001</v>
      </c>
      <c r="F23" s="19">
        <f t="shared" ref="F23:F25" si="6">E23*1.07</f>
        <v>15100.370035200001</v>
      </c>
      <c r="H23" s="35" t="s">
        <v>138</v>
      </c>
      <c r="I23" s="26"/>
      <c r="J23" s="27"/>
      <c r="K23" s="7">
        <f t="shared" ref="K23:K25" si="7">B23</f>
        <v>960</v>
      </c>
      <c r="L23" s="7">
        <f t="shared" ref="L23:V23" si="8">K23</f>
        <v>960</v>
      </c>
      <c r="M23" s="7">
        <f t="shared" si="8"/>
        <v>960</v>
      </c>
      <c r="N23" s="7">
        <f t="shared" si="8"/>
        <v>960</v>
      </c>
      <c r="O23" s="7">
        <f t="shared" si="8"/>
        <v>960</v>
      </c>
      <c r="P23" s="7">
        <f t="shared" si="8"/>
        <v>960</v>
      </c>
      <c r="Q23" s="7">
        <f t="shared" si="8"/>
        <v>960</v>
      </c>
      <c r="R23" s="7">
        <f t="shared" si="8"/>
        <v>960</v>
      </c>
      <c r="S23" s="7">
        <f t="shared" si="8"/>
        <v>960</v>
      </c>
      <c r="T23" s="7">
        <f t="shared" si="8"/>
        <v>960</v>
      </c>
      <c r="U23" s="7">
        <f t="shared" si="8"/>
        <v>960</v>
      </c>
      <c r="V23" s="7">
        <f t="shared" si="8"/>
        <v>960</v>
      </c>
      <c r="W23" s="7">
        <f t="shared" ref="W23:W25" si="9">C23</f>
        <v>1027.2</v>
      </c>
      <c r="X23" s="7">
        <f t="shared" ref="X23:AH23" si="10">W23</f>
        <v>1027.2</v>
      </c>
      <c r="Y23" s="7">
        <f t="shared" si="10"/>
        <v>1027.2</v>
      </c>
      <c r="Z23" s="7">
        <f t="shared" si="10"/>
        <v>1027.2</v>
      </c>
      <c r="AA23" s="7">
        <f t="shared" si="10"/>
        <v>1027.2</v>
      </c>
      <c r="AB23" s="7">
        <f t="shared" si="10"/>
        <v>1027.2</v>
      </c>
      <c r="AC23" s="7">
        <f t="shared" si="10"/>
        <v>1027.2</v>
      </c>
      <c r="AD23" s="7">
        <f t="shared" si="10"/>
        <v>1027.2</v>
      </c>
      <c r="AE23" s="7">
        <f t="shared" si="10"/>
        <v>1027.2</v>
      </c>
      <c r="AF23" s="7">
        <f t="shared" si="10"/>
        <v>1027.2</v>
      </c>
      <c r="AG23" s="7">
        <f t="shared" si="10"/>
        <v>1027.2</v>
      </c>
      <c r="AH23" s="7">
        <f t="shared" si="10"/>
        <v>1027.2</v>
      </c>
      <c r="AI23" s="7">
        <f t="shared" ref="AI23:AI25" si="11">D23</f>
        <v>1099.104</v>
      </c>
      <c r="AJ23" s="7">
        <f t="shared" ref="AJ23:AT23" si="12">AI23</f>
        <v>1099.104</v>
      </c>
      <c r="AK23" s="7">
        <f t="shared" si="12"/>
        <v>1099.104</v>
      </c>
      <c r="AL23" s="7">
        <f t="shared" si="12"/>
        <v>1099.104</v>
      </c>
      <c r="AM23" s="7">
        <f t="shared" si="12"/>
        <v>1099.104</v>
      </c>
      <c r="AN23" s="7">
        <f t="shared" si="12"/>
        <v>1099.104</v>
      </c>
      <c r="AO23" s="7">
        <f t="shared" si="12"/>
        <v>1099.104</v>
      </c>
      <c r="AP23" s="7">
        <f t="shared" si="12"/>
        <v>1099.104</v>
      </c>
      <c r="AQ23" s="7">
        <f t="shared" si="12"/>
        <v>1099.104</v>
      </c>
      <c r="AR23" s="7">
        <f t="shared" si="12"/>
        <v>1099.104</v>
      </c>
      <c r="AS23" s="7">
        <f t="shared" si="12"/>
        <v>1099.104</v>
      </c>
      <c r="AT23" s="7">
        <f t="shared" si="12"/>
        <v>1099.104</v>
      </c>
      <c r="AV23" s="7">
        <f t="shared" ref="AV23:AW23" si="13">E23</f>
        <v>14112.495360000001</v>
      </c>
      <c r="AW23" s="7">
        <f t="shared" si="13"/>
        <v>15100.370035200001</v>
      </c>
    </row>
    <row r="24" spans="1:49" ht="15.75" customHeight="1">
      <c r="A24" s="29" t="s">
        <v>139</v>
      </c>
      <c r="B24" s="19">
        <v>560</v>
      </c>
      <c r="C24" s="19">
        <f t="shared" ref="C24:D24" si="14">B24*1.07</f>
        <v>599.20000000000005</v>
      </c>
      <c r="D24" s="19">
        <f t="shared" si="14"/>
        <v>641.14400000000012</v>
      </c>
      <c r="E24" s="19">
        <f t="shared" si="5"/>
        <v>8232.2889600000017</v>
      </c>
      <c r="F24" s="19">
        <f t="shared" si="6"/>
        <v>8808.5491872000021</v>
      </c>
      <c r="H24" s="29" t="s">
        <v>139</v>
      </c>
      <c r="I24" s="26"/>
      <c r="J24" s="27"/>
      <c r="K24" s="7">
        <f t="shared" si="7"/>
        <v>560</v>
      </c>
      <c r="L24" s="7">
        <f t="shared" ref="L24:V24" si="15">K24</f>
        <v>560</v>
      </c>
      <c r="M24" s="7">
        <f t="shared" si="15"/>
        <v>560</v>
      </c>
      <c r="N24" s="7">
        <f t="shared" si="15"/>
        <v>560</v>
      </c>
      <c r="O24" s="7">
        <f t="shared" si="15"/>
        <v>560</v>
      </c>
      <c r="P24" s="7">
        <f t="shared" si="15"/>
        <v>560</v>
      </c>
      <c r="Q24" s="7">
        <f t="shared" si="15"/>
        <v>560</v>
      </c>
      <c r="R24" s="7">
        <f t="shared" si="15"/>
        <v>560</v>
      </c>
      <c r="S24" s="7">
        <f t="shared" si="15"/>
        <v>560</v>
      </c>
      <c r="T24" s="7">
        <f t="shared" si="15"/>
        <v>560</v>
      </c>
      <c r="U24" s="7">
        <f t="shared" si="15"/>
        <v>560</v>
      </c>
      <c r="V24" s="7">
        <f t="shared" si="15"/>
        <v>560</v>
      </c>
      <c r="W24" s="7">
        <f t="shared" si="9"/>
        <v>599.20000000000005</v>
      </c>
      <c r="X24" s="7">
        <f t="shared" ref="X24:AH24" si="16">W24</f>
        <v>599.20000000000005</v>
      </c>
      <c r="Y24" s="7">
        <f t="shared" si="16"/>
        <v>599.20000000000005</v>
      </c>
      <c r="Z24" s="7">
        <f t="shared" si="16"/>
        <v>599.20000000000005</v>
      </c>
      <c r="AA24" s="7">
        <f t="shared" si="16"/>
        <v>599.20000000000005</v>
      </c>
      <c r="AB24" s="7">
        <f t="shared" si="16"/>
        <v>599.20000000000005</v>
      </c>
      <c r="AC24" s="7">
        <f t="shared" si="16"/>
        <v>599.20000000000005</v>
      </c>
      <c r="AD24" s="7">
        <f t="shared" si="16"/>
        <v>599.20000000000005</v>
      </c>
      <c r="AE24" s="7">
        <f t="shared" si="16"/>
        <v>599.20000000000005</v>
      </c>
      <c r="AF24" s="7">
        <f t="shared" si="16"/>
        <v>599.20000000000005</v>
      </c>
      <c r="AG24" s="7">
        <f t="shared" si="16"/>
        <v>599.20000000000005</v>
      </c>
      <c r="AH24" s="7">
        <f t="shared" si="16"/>
        <v>599.20000000000005</v>
      </c>
      <c r="AI24" s="7">
        <f t="shared" si="11"/>
        <v>641.14400000000012</v>
      </c>
      <c r="AJ24" s="7">
        <f t="shared" ref="AJ24:AT24" si="17">AI24</f>
        <v>641.14400000000012</v>
      </c>
      <c r="AK24" s="7">
        <f t="shared" si="17"/>
        <v>641.14400000000012</v>
      </c>
      <c r="AL24" s="7">
        <f t="shared" si="17"/>
        <v>641.14400000000012</v>
      </c>
      <c r="AM24" s="7">
        <f t="shared" si="17"/>
        <v>641.14400000000012</v>
      </c>
      <c r="AN24" s="7">
        <f t="shared" si="17"/>
        <v>641.14400000000012</v>
      </c>
      <c r="AO24" s="7">
        <f t="shared" si="17"/>
        <v>641.14400000000012</v>
      </c>
      <c r="AP24" s="7">
        <f t="shared" si="17"/>
        <v>641.14400000000012</v>
      </c>
      <c r="AQ24" s="7">
        <f t="shared" si="17"/>
        <v>641.14400000000012</v>
      </c>
      <c r="AR24" s="7">
        <f t="shared" si="17"/>
        <v>641.14400000000012</v>
      </c>
      <c r="AS24" s="7">
        <f t="shared" si="17"/>
        <v>641.14400000000012</v>
      </c>
      <c r="AT24" s="7">
        <f t="shared" si="17"/>
        <v>641.14400000000012</v>
      </c>
      <c r="AV24" s="7">
        <f t="shared" ref="AV24:AW24" si="18">E24</f>
        <v>8232.2889600000017</v>
      </c>
      <c r="AW24" s="7">
        <f t="shared" si="18"/>
        <v>8808.5491872000021</v>
      </c>
    </row>
    <row r="25" spans="1:49" ht="15.75" customHeight="1">
      <c r="A25" s="29" t="s">
        <v>140</v>
      </c>
      <c r="B25" s="19">
        <v>800</v>
      </c>
      <c r="C25" s="19">
        <f t="shared" ref="C25:D25" si="19">B25*1.07</f>
        <v>856</v>
      </c>
      <c r="D25" s="19">
        <f t="shared" si="19"/>
        <v>915.92000000000007</v>
      </c>
      <c r="E25" s="19">
        <f t="shared" si="5"/>
        <v>11760.412800000002</v>
      </c>
      <c r="F25" s="19">
        <f t="shared" si="6"/>
        <v>12583.641696000002</v>
      </c>
      <c r="H25" s="29" t="s">
        <v>140</v>
      </c>
      <c r="I25" s="26"/>
      <c r="J25" s="27"/>
      <c r="K25" s="7">
        <f t="shared" si="7"/>
        <v>800</v>
      </c>
      <c r="L25" s="7">
        <f t="shared" ref="L25:V25" si="20">K25</f>
        <v>800</v>
      </c>
      <c r="M25" s="7">
        <f t="shared" si="20"/>
        <v>800</v>
      </c>
      <c r="N25" s="7">
        <f t="shared" si="20"/>
        <v>800</v>
      </c>
      <c r="O25" s="7">
        <f t="shared" si="20"/>
        <v>800</v>
      </c>
      <c r="P25" s="7">
        <f t="shared" si="20"/>
        <v>800</v>
      </c>
      <c r="Q25" s="7">
        <f t="shared" si="20"/>
        <v>800</v>
      </c>
      <c r="R25" s="7">
        <f t="shared" si="20"/>
        <v>800</v>
      </c>
      <c r="S25" s="7">
        <f t="shared" si="20"/>
        <v>800</v>
      </c>
      <c r="T25" s="7">
        <f t="shared" si="20"/>
        <v>800</v>
      </c>
      <c r="U25" s="7">
        <f t="shared" si="20"/>
        <v>800</v>
      </c>
      <c r="V25" s="7">
        <f t="shared" si="20"/>
        <v>800</v>
      </c>
      <c r="W25" s="7">
        <f t="shared" si="9"/>
        <v>856</v>
      </c>
      <c r="X25" s="7">
        <f t="shared" ref="X25:AH25" si="21">W25</f>
        <v>856</v>
      </c>
      <c r="Y25" s="7">
        <f t="shared" si="21"/>
        <v>856</v>
      </c>
      <c r="Z25" s="7">
        <f t="shared" si="21"/>
        <v>856</v>
      </c>
      <c r="AA25" s="7">
        <f t="shared" si="21"/>
        <v>856</v>
      </c>
      <c r="AB25" s="7">
        <f t="shared" si="21"/>
        <v>856</v>
      </c>
      <c r="AC25" s="7">
        <f t="shared" si="21"/>
        <v>856</v>
      </c>
      <c r="AD25" s="7">
        <f t="shared" si="21"/>
        <v>856</v>
      </c>
      <c r="AE25" s="7">
        <f t="shared" si="21"/>
        <v>856</v>
      </c>
      <c r="AF25" s="7">
        <f t="shared" si="21"/>
        <v>856</v>
      </c>
      <c r="AG25" s="7">
        <f t="shared" si="21"/>
        <v>856</v>
      </c>
      <c r="AH25" s="7">
        <f t="shared" si="21"/>
        <v>856</v>
      </c>
      <c r="AI25" s="7">
        <f t="shared" si="11"/>
        <v>915.92000000000007</v>
      </c>
      <c r="AJ25" s="7">
        <f t="shared" ref="AJ25:AT25" si="22">AI25</f>
        <v>915.92000000000007</v>
      </c>
      <c r="AK25" s="7">
        <f t="shared" si="22"/>
        <v>915.92000000000007</v>
      </c>
      <c r="AL25" s="7">
        <f t="shared" si="22"/>
        <v>915.92000000000007</v>
      </c>
      <c r="AM25" s="7">
        <f t="shared" si="22"/>
        <v>915.92000000000007</v>
      </c>
      <c r="AN25" s="7">
        <f t="shared" si="22"/>
        <v>915.92000000000007</v>
      </c>
      <c r="AO25" s="7">
        <f t="shared" si="22"/>
        <v>915.92000000000007</v>
      </c>
      <c r="AP25" s="7">
        <f t="shared" si="22"/>
        <v>915.92000000000007</v>
      </c>
      <c r="AQ25" s="7">
        <f t="shared" si="22"/>
        <v>915.92000000000007</v>
      </c>
      <c r="AR25" s="7">
        <f t="shared" si="22"/>
        <v>915.92000000000007</v>
      </c>
      <c r="AS25" s="7">
        <f t="shared" si="22"/>
        <v>915.92000000000007</v>
      </c>
      <c r="AT25" s="7">
        <f t="shared" si="22"/>
        <v>915.92000000000007</v>
      </c>
      <c r="AV25" s="7">
        <f t="shared" ref="AV25:AW25" si="23">E25</f>
        <v>11760.412800000002</v>
      </c>
      <c r="AW25" s="7">
        <f t="shared" si="23"/>
        <v>12583.641696000002</v>
      </c>
    </row>
    <row r="26" spans="1:49" ht="15.75" customHeight="1">
      <c r="H26" s="62" t="s">
        <v>141</v>
      </c>
      <c r="I26" s="26"/>
      <c r="J26" s="27"/>
      <c r="K26" s="7">
        <f>SUM(K13:K25)</f>
        <v>263410</v>
      </c>
      <c r="L26" s="7">
        <f t="shared" ref="L26:AT26" si="24">SUM(L13:L25)</f>
        <v>283010</v>
      </c>
      <c r="M26" s="7">
        <f t="shared" si="24"/>
        <v>297010</v>
      </c>
      <c r="N26" s="7">
        <f t="shared" si="24"/>
        <v>357375</v>
      </c>
      <c r="O26" s="7">
        <f t="shared" si="24"/>
        <v>524175</v>
      </c>
      <c r="P26" s="7">
        <f t="shared" si="24"/>
        <v>417943.33333333331</v>
      </c>
      <c r="Q26" s="7">
        <f t="shared" si="24"/>
        <v>595633.33333333326</v>
      </c>
      <c r="R26" s="7">
        <f t="shared" si="24"/>
        <v>668271.66666666674</v>
      </c>
      <c r="S26" s="7">
        <f t="shared" si="24"/>
        <v>547471.66666666674</v>
      </c>
      <c r="T26" s="7">
        <f t="shared" si="24"/>
        <v>733911.66666666674</v>
      </c>
      <c r="U26" s="7">
        <f t="shared" si="24"/>
        <v>773439.66666666674</v>
      </c>
      <c r="V26" s="7">
        <f t="shared" si="24"/>
        <v>816113.2666666666</v>
      </c>
      <c r="W26" s="7">
        <f t="shared" si="24"/>
        <v>813278.81599999988</v>
      </c>
      <c r="X26" s="7">
        <f t="shared" si="24"/>
        <v>1034184.0991999999</v>
      </c>
      <c r="Y26" s="7">
        <f t="shared" si="24"/>
        <v>806556.43903999985</v>
      </c>
      <c r="Z26" s="7">
        <f t="shared" si="24"/>
        <v>1030491.246848</v>
      </c>
      <c r="AA26" s="7">
        <f t="shared" si="24"/>
        <v>1125579.0162175999</v>
      </c>
      <c r="AB26" s="7">
        <f t="shared" si="24"/>
        <v>1218930.3394611198</v>
      </c>
      <c r="AC26" s="7">
        <f t="shared" si="24"/>
        <v>1355971.9273533437</v>
      </c>
      <c r="AD26" s="7">
        <f t="shared" si="24"/>
        <v>1500573.8328240127</v>
      </c>
      <c r="AE26" s="7">
        <f t="shared" si="24"/>
        <v>1817778.1193888152</v>
      </c>
      <c r="AF26" s="7">
        <f t="shared" si="24"/>
        <v>2028059.2632665783</v>
      </c>
      <c r="AG26" s="7">
        <f t="shared" si="24"/>
        <v>2099766.6359198941</v>
      </c>
      <c r="AH26" s="7">
        <f t="shared" si="24"/>
        <v>2498649.4831038732</v>
      </c>
      <c r="AI26" s="7">
        <f t="shared" si="24"/>
        <v>2591794.7927108794</v>
      </c>
      <c r="AJ26" s="7">
        <f t="shared" si="24"/>
        <v>2772189.517653055</v>
      </c>
      <c r="AK26" s="7">
        <f t="shared" si="24"/>
        <v>3327792.1875836663</v>
      </c>
      <c r="AL26" s="7">
        <f t="shared" si="24"/>
        <v>3771369.3915003999</v>
      </c>
      <c r="AM26" s="7">
        <f t="shared" si="24"/>
        <v>4132113.0362004796</v>
      </c>
      <c r="AN26" s="7">
        <f t="shared" si="24"/>
        <v>4906295.3098405767</v>
      </c>
      <c r="AO26" s="7">
        <f t="shared" si="24"/>
        <v>5596733.0382086914</v>
      </c>
      <c r="AP26" s="7">
        <f t="shared" si="24"/>
        <v>6394388.3122504307</v>
      </c>
      <c r="AQ26" s="7">
        <f t="shared" si="24"/>
        <v>7162190.6411005165</v>
      </c>
      <c r="AR26" s="7">
        <f t="shared" si="24"/>
        <v>8416231.8357206192</v>
      </c>
      <c r="AS26" s="7">
        <f t="shared" si="24"/>
        <v>9632697.8692647424</v>
      </c>
      <c r="AT26" s="7">
        <f t="shared" si="24"/>
        <v>9363737.1095176917</v>
      </c>
      <c r="AU26" s="7"/>
      <c r="AV26" s="7">
        <f>SUM(AV13:AV25)</f>
        <v>43137701.918156676</v>
      </c>
      <c r="AW26" s="7">
        <f>SUM(AW13:AW25)</f>
        <v>136266679.25602907</v>
      </c>
    </row>
    <row r="27" spans="1:49" ht="15.75" customHeight="1">
      <c r="I27" s="26"/>
      <c r="J27" s="27"/>
    </row>
    <row r="28" spans="1:49" ht="15.75" customHeight="1">
      <c r="A28" s="35"/>
      <c r="B28" s="53"/>
      <c r="H28" s="5" t="s">
        <v>142</v>
      </c>
      <c r="I28" s="26"/>
      <c r="J28" s="27"/>
      <c r="K28" s="7">
        <f t="shared" ref="K28:AT28" si="25">K8+K26</f>
        <v>863410</v>
      </c>
      <c r="L28" s="7">
        <f t="shared" si="25"/>
        <v>883010</v>
      </c>
      <c r="M28" s="7">
        <f t="shared" si="25"/>
        <v>897010</v>
      </c>
      <c r="N28" s="7">
        <f t="shared" si="25"/>
        <v>1767375</v>
      </c>
      <c r="O28" s="7">
        <f t="shared" si="25"/>
        <v>1934175</v>
      </c>
      <c r="P28" s="7">
        <f t="shared" si="25"/>
        <v>2297943.3333333335</v>
      </c>
      <c r="Q28" s="7">
        <f t="shared" si="25"/>
        <v>2475633.333333333</v>
      </c>
      <c r="R28" s="7">
        <f t="shared" si="25"/>
        <v>3018271.666666667</v>
      </c>
      <c r="S28" s="7">
        <f t="shared" si="25"/>
        <v>2897471.666666667</v>
      </c>
      <c r="T28" s="7">
        <f t="shared" si="25"/>
        <v>3083911.666666667</v>
      </c>
      <c r="U28" s="7">
        <f t="shared" si="25"/>
        <v>3123439.666666667</v>
      </c>
      <c r="V28" s="7">
        <f t="shared" si="25"/>
        <v>3166113.2666666666</v>
      </c>
      <c r="W28" s="7">
        <f t="shared" si="25"/>
        <v>2419278.8159999996</v>
      </c>
      <c r="X28" s="7">
        <f t="shared" si="25"/>
        <v>2640184.0992000001</v>
      </c>
      <c r="Y28" s="7">
        <f t="shared" si="25"/>
        <v>2753556.4390400001</v>
      </c>
      <c r="Z28" s="7">
        <f t="shared" si="25"/>
        <v>2636491.2468480002</v>
      </c>
      <c r="AA28" s="7">
        <f t="shared" si="25"/>
        <v>2731579.0162175996</v>
      </c>
      <c r="AB28" s="7">
        <f t="shared" si="25"/>
        <v>2615930.3394611198</v>
      </c>
      <c r="AC28" s="7">
        <f t="shared" si="25"/>
        <v>2961971.9273533439</v>
      </c>
      <c r="AD28" s="7">
        <f t="shared" si="25"/>
        <v>3106573.8328240127</v>
      </c>
      <c r="AE28" s="7">
        <f t="shared" si="25"/>
        <v>3423778.119388815</v>
      </c>
      <c r="AF28" s="7">
        <f t="shared" si="25"/>
        <v>3975059.2632665783</v>
      </c>
      <c r="AG28" s="7">
        <f t="shared" si="25"/>
        <v>4255766.6359198941</v>
      </c>
      <c r="AH28" s="7">
        <f t="shared" si="25"/>
        <v>4654649.4831038732</v>
      </c>
      <c r="AI28" s="7">
        <f t="shared" si="25"/>
        <v>4963394.7927108798</v>
      </c>
      <c r="AJ28" s="7">
        <f t="shared" si="25"/>
        <v>5143789.5176530555</v>
      </c>
      <c r="AK28" s="7">
        <f t="shared" si="25"/>
        <v>5699392.1875836663</v>
      </c>
      <c r="AL28" s="7">
        <f t="shared" si="25"/>
        <v>6142969.3915004004</v>
      </c>
      <c r="AM28" s="7">
        <f t="shared" si="25"/>
        <v>6503713.0362004805</v>
      </c>
      <c r="AN28" s="7">
        <f t="shared" si="25"/>
        <v>7277895.3098405767</v>
      </c>
      <c r="AO28" s="7">
        <f t="shared" si="25"/>
        <v>7968333.0382086914</v>
      </c>
      <c r="AP28" s="7">
        <f t="shared" si="25"/>
        <v>8765988.3122504316</v>
      </c>
      <c r="AQ28" s="7">
        <f t="shared" si="25"/>
        <v>9884690.6411005165</v>
      </c>
      <c r="AR28" s="7">
        <f t="shared" si="25"/>
        <v>10787831.835720619</v>
      </c>
      <c r="AS28" s="7">
        <f t="shared" si="25"/>
        <v>12004297.869264742</v>
      </c>
      <c r="AT28" s="7">
        <f t="shared" si="25"/>
        <v>11735337.109517692</v>
      </c>
      <c r="AU28" s="7"/>
      <c r="AV28" s="7">
        <f>AV8+AV26</f>
        <v>99838301.918156683</v>
      </c>
      <c r="AW28" s="7">
        <f>AW8+AW26</f>
        <v>215855155.2560291</v>
      </c>
    </row>
    <row r="29" spans="1:49" ht="15.75" customHeight="1" thickBot="1">
      <c r="I29" s="26"/>
      <c r="J29" s="27"/>
    </row>
    <row r="30" spans="1:49" ht="15.75" customHeight="1" thickTop="1" thickBot="1">
      <c r="H30" s="62" t="s">
        <v>20</v>
      </c>
      <c r="I30" s="26"/>
      <c r="J30" s="27"/>
      <c r="K30" s="36">
        <f>'Revenue Buildup'!E32-'COGS Buildup'!K28</f>
        <v>636590</v>
      </c>
      <c r="L30" s="36">
        <f>'Revenue Buildup'!F32-'COGS Buildup'!L28</f>
        <v>665990</v>
      </c>
      <c r="M30" s="36">
        <f>'Revenue Buildup'!G32-'COGS Buildup'!M28</f>
        <v>686990</v>
      </c>
      <c r="N30" s="36">
        <f>'Revenue Buildup'!H32-'COGS Buildup'!N28</f>
        <v>55125</v>
      </c>
      <c r="O30" s="36">
        <f>'Revenue Buildup'!I32-'COGS Buildup'!O28</f>
        <v>1430325</v>
      </c>
      <c r="P30" s="36">
        <f>'Revenue Buildup'!J32-'COGS Buildup'!P28</f>
        <v>-387943.33333333349</v>
      </c>
      <c r="Q30" s="36">
        <f>'Revenue Buildup'!K32-'COGS Buildup'!Q28</f>
        <v>1190366.666666667</v>
      </c>
      <c r="R30" s="36">
        <f>'Revenue Buildup'!L32-'COGS Buildup'!R28</f>
        <v>718728.33333333302</v>
      </c>
      <c r="S30" s="36">
        <f>'Revenue Buildup'!M32-'COGS Buildup'!S28</f>
        <v>-588871.66666666698</v>
      </c>
      <c r="T30" s="36">
        <f>'Revenue Buildup'!N32-'COGS Buildup'!T28</f>
        <v>1014108.333333333</v>
      </c>
      <c r="U30" s="36">
        <f>'Revenue Buildup'!O32-'COGS Buildup'!U28</f>
        <v>1071384.333333333</v>
      </c>
      <c r="V30" s="36">
        <f>'Revenue Buildup'!P32-'COGS Buildup'!V28</f>
        <v>1132975.5333333332</v>
      </c>
      <c r="W30" s="36">
        <f>'Revenue Buildup'!Q32-'COGS Buildup'!W28</f>
        <v>2087223.0720000006</v>
      </c>
      <c r="X30" s="36">
        <f>'Revenue Buildup'!R32-'COGS Buildup'!X28</f>
        <v>3596173.1663999995</v>
      </c>
      <c r="Y30" s="36">
        <f>'Revenue Buildup'!S32-'COGS Buildup'!Y28</f>
        <v>503192.27967999969</v>
      </c>
      <c r="Z30" s="36">
        <f>'Revenue Buildup'!T32-'COGS Buildup'!Z28</f>
        <v>2609727.2156159999</v>
      </c>
      <c r="AA30" s="36">
        <f>'Revenue Buildup'!U32-'COGS Buildup'!AA28</f>
        <v>2746038.1387392003</v>
      </c>
      <c r="AB30" s="36">
        <f>'Revenue Buildup'!V32-'COGS Buildup'!AB28</f>
        <v>3116580.2464870401</v>
      </c>
      <c r="AC30" s="36">
        <f>'Revenue Buildup'!W32-'COGS Buildup'!AC28</f>
        <v>3284940.7757844478</v>
      </c>
      <c r="AD30" s="36">
        <f>'Revenue Buildup'!X32-'COGS Buildup'!AD28</f>
        <v>3490921.4109413377</v>
      </c>
      <c r="AE30" s="36">
        <f>'Revenue Buildup'!Y32-'COGS Buildup'!AE28</f>
        <v>5134871.1731296051</v>
      </c>
      <c r="AF30" s="36">
        <f>'Revenue Buildup'!Z32-'COGS Buildup'!AF28</f>
        <v>5469914.8877555262</v>
      </c>
      <c r="AG30" s="36">
        <f>'Revenue Buildup'!AA32-'COGS Buildup'!AG28</f>
        <v>4139252.3453066321</v>
      </c>
      <c r="AH30" s="36">
        <f>'Revenue Buildup'!AB32-'COGS Buildup'!AH28</f>
        <v>5896178.2943679579</v>
      </c>
      <c r="AI30" s="36">
        <f>'Revenue Buildup'!AC32-'COGS Buildup'!AI28</f>
        <v>6403367.9569036271</v>
      </c>
      <c r="AJ30" s="36">
        <f>'Revenue Buildup'!AD32-'COGS Buildup'!AJ28</f>
        <v>5399403.2818843517</v>
      </c>
      <c r="AK30" s="36">
        <f>'Revenue Buildup'!AE32-'COGS Buildup'!AK28</f>
        <v>7432026.6718612239</v>
      </c>
      <c r="AL30" s="36">
        <f>'Revenue Buildup'!AF32-'COGS Buildup'!AL28</f>
        <v>8489080.7398334667</v>
      </c>
      <c r="AM30" s="36">
        <f>'Revenue Buildup'!AG32-'COGS Buildup'!AM28</f>
        <v>7730709.6214001607</v>
      </c>
      <c r="AN30" s="36">
        <f>'Revenue Buildup'!AH32-'COGS Buildup'!AN28</f>
        <v>10061286.629280193</v>
      </c>
      <c r="AO30" s="36">
        <f>'Revenue Buildup'!AI32-'COGS Buildup'!AO28</f>
        <v>11232232.53873623</v>
      </c>
      <c r="AP30" s="36">
        <f>'Revenue Buildup'!AJ32-'COGS Buildup'!AP28</f>
        <v>12326462.630083475</v>
      </c>
      <c r="AQ30" s="36">
        <f>'Revenue Buildup'!AK32-'COGS Buildup'!AQ28</f>
        <v>11716227.73970017</v>
      </c>
      <c r="AR30" s="36">
        <f>'Revenue Buildup'!AL32-'COGS Buildup'!AR28</f>
        <v>15530280.471240206</v>
      </c>
      <c r="AS30" s="36">
        <f>'Revenue Buildup'!AM32-'COGS Buildup'!AS28</f>
        <v>17178286.649088249</v>
      </c>
      <c r="AT30" s="36">
        <f>'Revenue Buildup'!AN32-'COGS Buildup'!AT28</f>
        <v>16562814.062505899</v>
      </c>
      <c r="AV30" s="36">
        <f>'Revenue Buildup'!AS32-'COGS Buildup'!AV28</f>
        <v>91288334.0015589</v>
      </c>
      <c r="AW30" s="36">
        <f>'Revenue Buildup'!AT32-'COGS Buildup'!AW28</f>
        <v>243883607.32766011</v>
      </c>
    </row>
    <row r="31" spans="1:49" ht="15.75" customHeight="1" thickTop="1">
      <c r="H31" s="62" t="s">
        <v>143</v>
      </c>
      <c r="I31" s="26"/>
      <c r="J31" s="27"/>
      <c r="K31" s="29">
        <f t="shared" ref="K31:AT31" si="26">K30/K32</f>
        <v>0.42439333333333334</v>
      </c>
      <c r="L31" s="29">
        <f t="shared" si="26"/>
        <v>0.4299483537766301</v>
      </c>
      <c r="M31" s="29">
        <f t="shared" si="26"/>
        <v>0.43370580808080811</v>
      </c>
      <c r="N31" s="29">
        <f t="shared" si="26"/>
        <v>3.0246913580246913E-2</v>
      </c>
      <c r="O31" s="29">
        <f t="shared" si="26"/>
        <v>0.42512260365581811</v>
      </c>
      <c r="P31" s="29">
        <f t="shared" si="26"/>
        <v>-0.20311169284467723</v>
      </c>
      <c r="Q31" s="29">
        <f t="shared" si="26"/>
        <v>0.32470449172576843</v>
      </c>
      <c r="R31" s="29">
        <f t="shared" si="26"/>
        <v>0.19232762465435724</v>
      </c>
      <c r="S31" s="29">
        <f t="shared" si="26"/>
        <v>-0.255077391781455</v>
      </c>
      <c r="T31" s="29">
        <f t="shared" si="26"/>
        <v>0.24746300245809758</v>
      </c>
      <c r="U31" s="29">
        <f t="shared" si="26"/>
        <v>0.25540626575354125</v>
      </c>
      <c r="V31" s="29">
        <f t="shared" si="26"/>
        <v>0.26353852782322923</v>
      </c>
      <c r="W31" s="29">
        <f t="shared" si="26"/>
        <v>0.46315814879782879</v>
      </c>
      <c r="X31" s="29">
        <f t="shared" si="26"/>
        <v>0.57664643208249744</v>
      </c>
      <c r="Y31" s="29">
        <f t="shared" si="26"/>
        <v>0.15450755435555047</v>
      </c>
      <c r="Z31" s="29">
        <f t="shared" si="26"/>
        <v>0.49744920732681136</v>
      </c>
      <c r="AA31" s="29">
        <f t="shared" si="26"/>
        <v>0.50131983690285076</v>
      </c>
      <c r="AB31" s="29">
        <f t="shared" si="26"/>
        <v>0.54366759550807808</v>
      </c>
      <c r="AC31" s="29">
        <f t="shared" si="26"/>
        <v>0.5258502770711746</v>
      </c>
      <c r="AD31" s="29">
        <f t="shared" si="26"/>
        <v>0.52912829520267823</v>
      </c>
      <c r="AE31" s="29">
        <f t="shared" si="26"/>
        <v>0.59996279758983406</v>
      </c>
      <c r="AF31" s="29">
        <f t="shared" si="26"/>
        <v>0.5791349770039963</v>
      </c>
      <c r="AG31" s="29">
        <f t="shared" si="26"/>
        <v>0.49306051059123163</v>
      </c>
      <c r="AH31" s="29">
        <f t="shared" si="26"/>
        <v>0.55883561164342965</v>
      </c>
      <c r="AI31" s="29">
        <f t="shared" si="26"/>
        <v>0.56334139261601035</v>
      </c>
      <c r="AJ31" s="29">
        <f t="shared" si="26"/>
        <v>0.51212221805535563</v>
      </c>
      <c r="AK31" s="29">
        <f t="shared" si="26"/>
        <v>0.56597285879093506</v>
      </c>
      <c r="AL31" s="29">
        <f t="shared" si="26"/>
        <v>0.58017028807565985</v>
      </c>
      <c r="AM31" s="29">
        <f t="shared" si="26"/>
        <v>0.54309962598112504</v>
      </c>
      <c r="AN31" s="29">
        <f t="shared" si="26"/>
        <v>0.58026305189057714</v>
      </c>
      <c r="AO31" s="29">
        <f t="shared" si="26"/>
        <v>0.58499487912081782</v>
      </c>
      <c r="AP31" s="29">
        <f t="shared" si="26"/>
        <v>0.58440162614499536</v>
      </c>
      <c r="AQ31" s="29">
        <f t="shared" si="26"/>
        <v>0.5423948895670001</v>
      </c>
      <c r="AR31" s="29">
        <f t="shared" si="26"/>
        <v>0.59009857128440901</v>
      </c>
      <c r="AS31" s="29">
        <f t="shared" si="26"/>
        <v>0.58864857011841376</v>
      </c>
      <c r="AT31" s="29">
        <f t="shared" si="26"/>
        <v>0.58529668464279028</v>
      </c>
      <c r="AU31" s="29"/>
      <c r="AV31" s="29">
        <f>AV30/AV32</f>
        <v>0.47763271488703102</v>
      </c>
      <c r="AW31" s="29">
        <f>AW30/AW32</f>
        <v>0.53048302030713457</v>
      </c>
    </row>
    <row r="32" spans="1:49" ht="15.75" customHeight="1">
      <c r="H32" s="62" t="s">
        <v>144</v>
      </c>
      <c r="I32" s="26"/>
      <c r="J32" s="27"/>
      <c r="K32" s="7">
        <f>'Revenue Buildup'!E32</f>
        <v>1500000</v>
      </c>
      <c r="L32" s="7">
        <f>'Revenue Buildup'!F32</f>
        <v>1549000</v>
      </c>
      <c r="M32" s="7">
        <f>'Revenue Buildup'!G32</f>
        <v>1584000</v>
      </c>
      <c r="N32" s="7">
        <f>'Revenue Buildup'!H32</f>
        <v>1822500</v>
      </c>
      <c r="O32" s="7">
        <f>'Revenue Buildup'!I32</f>
        <v>3364500</v>
      </c>
      <c r="P32" s="7">
        <f>'Revenue Buildup'!J32</f>
        <v>1910000</v>
      </c>
      <c r="Q32" s="7">
        <f>'Revenue Buildup'!K32</f>
        <v>3666000</v>
      </c>
      <c r="R32" s="7">
        <f>'Revenue Buildup'!L32</f>
        <v>3737000</v>
      </c>
      <c r="S32" s="7">
        <f>'Revenue Buildup'!M32</f>
        <v>2308600</v>
      </c>
      <c r="T32" s="7">
        <f>'Revenue Buildup'!N32</f>
        <v>4098020</v>
      </c>
      <c r="U32" s="7">
        <f>'Revenue Buildup'!O32</f>
        <v>4194824</v>
      </c>
      <c r="V32" s="7">
        <f>'Revenue Buildup'!P32</f>
        <v>4299088.8</v>
      </c>
      <c r="W32" s="7">
        <f>'Revenue Buildup'!Q32</f>
        <v>4506501.8880000003</v>
      </c>
      <c r="X32" s="7">
        <f>'Revenue Buildup'!R32</f>
        <v>6236357.2655999996</v>
      </c>
      <c r="Y32" s="7">
        <f>'Revenue Buildup'!S32</f>
        <v>3256748.7187199998</v>
      </c>
      <c r="Z32" s="7">
        <f>'Revenue Buildup'!T32</f>
        <v>5246218.4624640001</v>
      </c>
      <c r="AA32" s="7">
        <f>'Revenue Buildup'!U32</f>
        <v>5477617.1549567999</v>
      </c>
      <c r="AB32" s="7">
        <f>'Revenue Buildup'!V32</f>
        <v>5732510.5859481599</v>
      </c>
      <c r="AC32" s="7">
        <f>'Revenue Buildup'!W32</f>
        <v>6246912.7031377917</v>
      </c>
      <c r="AD32" s="7">
        <f>'Revenue Buildup'!X32</f>
        <v>6597495.2437653504</v>
      </c>
      <c r="AE32" s="7">
        <f>'Revenue Buildup'!Y32</f>
        <v>8558649.2925184201</v>
      </c>
      <c r="AF32" s="7">
        <f>'Revenue Buildup'!Z32</f>
        <v>9444974.1510221045</v>
      </c>
      <c r="AG32" s="7">
        <f>'Revenue Buildup'!AA32</f>
        <v>8395018.9812265262</v>
      </c>
      <c r="AH32" s="7">
        <f>'Revenue Buildup'!AB32</f>
        <v>10550827.777471831</v>
      </c>
      <c r="AI32" s="7">
        <f>'Revenue Buildup'!AC32</f>
        <v>11366762.749614507</v>
      </c>
      <c r="AJ32" s="7">
        <f>'Revenue Buildup'!AD32</f>
        <v>10543192.799537407</v>
      </c>
      <c r="AK32" s="7">
        <f>'Revenue Buildup'!AE32</f>
        <v>13131418.85944489</v>
      </c>
      <c r="AL32" s="7">
        <f>'Revenue Buildup'!AF32</f>
        <v>14632050.131333867</v>
      </c>
      <c r="AM32" s="7">
        <f>'Revenue Buildup'!AG32</f>
        <v>14234422.657600641</v>
      </c>
      <c r="AN32" s="7">
        <f>'Revenue Buildup'!AH32</f>
        <v>17339181.93912077</v>
      </c>
      <c r="AO32" s="7">
        <f>'Revenue Buildup'!AI32</f>
        <v>19200565.576944921</v>
      </c>
      <c r="AP32" s="7">
        <f>'Revenue Buildup'!AJ32</f>
        <v>21092450.942333907</v>
      </c>
      <c r="AQ32" s="7">
        <f>'Revenue Buildup'!AK32</f>
        <v>21600918.380800687</v>
      </c>
      <c r="AR32" s="7">
        <f>'Revenue Buildup'!AL32</f>
        <v>26318112.306960825</v>
      </c>
      <c r="AS32" s="7">
        <f>'Revenue Buildup'!AM32</f>
        <v>29182584.518352993</v>
      </c>
      <c r="AT32" s="7">
        <f>'Revenue Buildup'!AN32</f>
        <v>28298151.172023591</v>
      </c>
      <c r="AV32" s="7">
        <f>'Revenue Buildup'!AS32</f>
        <v>191126635.91971558</v>
      </c>
      <c r="AW32" s="7">
        <f>'Revenue Buildup'!AT32</f>
        <v>459738762.58368921</v>
      </c>
    </row>
    <row r="33" spans="1:10" ht="15.75" customHeight="1">
      <c r="I33" s="26"/>
      <c r="J33" s="27"/>
    </row>
    <row r="34" spans="1:10" ht="15.75" customHeight="1">
      <c r="I34" s="26"/>
      <c r="J34" s="27"/>
    </row>
    <row r="35" spans="1:10" ht="15.75" customHeight="1">
      <c r="I35" s="26"/>
      <c r="J35" s="27"/>
    </row>
    <row r="36" spans="1:10" ht="15.75" customHeight="1">
      <c r="A36" s="90" t="s">
        <v>145</v>
      </c>
      <c r="B36" s="91" t="s">
        <v>4</v>
      </c>
      <c r="C36" s="91" t="s">
        <v>5</v>
      </c>
      <c r="D36" s="91" t="s">
        <v>6</v>
      </c>
      <c r="E36" s="91" t="s">
        <v>7</v>
      </c>
      <c r="F36" s="91" t="s">
        <v>8</v>
      </c>
      <c r="I36" s="26"/>
      <c r="J36" s="27"/>
    </row>
    <row r="37" spans="1:10" ht="15.75" customHeight="1">
      <c r="A37" s="62" t="s">
        <v>146</v>
      </c>
      <c r="B37" s="7">
        <f>SUM(K8:V8)</f>
        <v>20130000</v>
      </c>
      <c r="C37" s="7">
        <f>SUM(W8:AH8)</f>
        <v>20845000</v>
      </c>
      <c r="D37" s="7">
        <f>SUM(AI8:AT8)</f>
        <v>28810100.000000004</v>
      </c>
      <c r="E37" s="7">
        <f>AV8</f>
        <v>56700600.000000015</v>
      </c>
      <c r="F37" s="7">
        <f>AW8</f>
        <v>79588476.00000003</v>
      </c>
      <c r="I37" s="26"/>
      <c r="J37" s="27"/>
    </row>
    <row r="38" spans="1:10" ht="15.75" customHeight="1">
      <c r="A38" s="62" t="s">
        <v>147</v>
      </c>
      <c r="B38" s="7">
        <f>SUM(K26:V26)</f>
        <v>6277764.6000000015</v>
      </c>
      <c r="C38" s="7">
        <f>SUM(W26:AH26)</f>
        <v>17329819.218623236</v>
      </c>
      <c r="D38" s="7">
        <f>SUM(AI26:AT26)</f>
        <v>68067533.041551754</v>
      </c>
      <c r="E38" s="7">
        <f>AV26</f>
        <v>43137701.918156676</v>
      </c>
      <c r="F38" s="7">
        <f>AW26</f>
        <v>136266679.25602907</v>
      </c>
      <c r="I38" s="26"/>
      <c r="J38" s="27"/>
    </row>
    <row r="39" spans="1:10" ht="15.75" customHeight="1">
      <c r="A39" s="62" t="s">
        <v>142</v>
      </c>
      <c r="B39" s="7">
        <f t="shared" ref="B39:F39" si="27">SUM(B37:B38)</f>
        <v>26407764.600000001</v>
      </c>
      <c r="C39" s="7">
        <f t="shared" si="27"/>
        <v>38174819.218623236</v>
      </c>
      <c r="D39" s="7">
        <f t="shared" si="27"/>
        <v>96877633.041551754</v>
      </c>
      <c r="E39" s="7">
        <f t="shared" si="27"/>
        <v>99838301.918156683</v>
      </c>
      <c r="F39" s="7">
        <f t="shared" si="27"/>
        <v>215855155.2560291</v>
      </c>
      <c r="I39" s="26"/>
      <c r="J39" s="27"/>
    </row>
    <row r="40" spans="1:10" ht="15.75" customHeight="1">
      <c r="I40" s="26"/>
      <c r="J40" s="27"/>
    </row>
    <row r="41" spans="1:10" ht="15.75" customHeight="1">
      <c r="A41" s="62" t="s">
        <v>15</v>
      </c>
      <c r="B41" s="7">
        <f>'Revenue Buildup'!B43</f>
        <v>34033532.799999997</v>
      </c>
      <c r="C41" s="7">
        <f>'Revenue Buildup'!C43</f>
        <v>80249832.224830985</v>
      </c>
      <c r="D41" s="7">
        <f>'Revenue Buildup'!D43</f>
        <v>226939812.034069</v>
      </c>
      <c r="E41" s="7">
        <f>'Revenue Buildup'!E43</f>
        <v>191126635.91971558</v>
      </c>
      <c r="F41" s="7">
        <f>'Revenue Buildup'!F43</f>
        <v>459738762.58368921</v>
      </c>
      <c r="I41" s="26"/>
      <c r="J41" s="27"/>
    </row>
    <row r="42" spans="1:10" ht="15.75" customHeight="1">
      <c r="A42" s="5" t="s">
        <v>20</v>
      </c>
      <c r="B42" s="7">
        <f t="shared" ref="B42:F42" si="28">B41-B39</f>
        <v>7625768.1999999955</v>
      </c>
      <c r="C42" s="7">
        <f t="shared" si="28"/>
        <v>42075013.006207749</v>
      </c>
      <c r="D42" s="7">
        <f t="shared" si="28"/>
        <v>130062178.99251725</v>
      </c>
      <c r="E42" s="7">
        <f t="shared" si="28"/>
        <v>91288334.0015589</v>
      </c>
      <c r="F42" s="7">
        <f t="shared" si="28"/>
        <v>243883607.32766011</v>
      </c>
      <c r="I42" s="26"/>
      <c r="J42" s="27"/>
    </row>
    <row r="43" spans="1:10" ht="15.75" customHeight="1">
      <c r="A43" s="5" t="s">
        <v>148</v>
      </c>
      <c r="B43" s="37">
        <f t="shared" ref="B43:F43" si="29">B42/B41</f>
        <v>0.22406631262212062</v>
      </c>
      <c r="C43" s="37">
        <f t="shared" si="29"/>
        <v>0.52430032362346612</v>
      </c>
      <c r="D43" s="37">
        <f t="shared" si="29"/>
        <v>0.573113099137457</v>
      </c>
      <c r="E43" s="37">
        <f t="shared" si="29"/>
        <v>0.47763271488703102</v>
      </c>
      <c r="F43" s="37">
        <f t="shared" si="29"/>
        <v>0.53048302030713457</v>
      </c>
      <c r="I43" s="26"/>
      <c r="J43" s="27"/>
    </row>
    <row r="44" spans="1:10" ht="15.75" customHeight="1">
      <c r="I44" s="26"/>
      <c r="J44" s="27"/>
    </row>
    <row r="45" spans="1:10" ht="15.75" customHeight="1">
      <c r="I45" s="26"/>
      <c r="J45" s="27"/>
    </row>
    <row r="46" spans="1:10" ht="15.75" customHeight="1">
      <c r="I46" s="26"/>
      <c r="J46" s="27"/>
    </row>
    <row r="47" spans="1:10" ht="15.75" customHeight="1">
      <c r="I47" s="26"/>
      <c r="J47" s="27"/>
    </row>
    <row r="48" spans="1:10" ht="15.75" customHeight="1">
      <c r="I48" s="26"/>
      <c r="J48" s="27"/>
    </row>
    <row r="49" spans="9:10" ht="15.75" customHeight="1">
      <c r="I49" s="26"/>
      <c r="J49" s="27"/>
    </row>
    <row r="50" spans="9:10" ht="15.75" customHeight="1">
      <c r="I50" s="26"/>
      <c r="J50" s="27"/>
    </row>
    <row r="51" spans="9:10" ht="15.75" customHeight="1">
      <c r="I51" s="26"/>
      <c r="J51" s="27"/>
    </row>
    <row r="52" spans="9:10" ht="15.75" customHeight="1">
      <c r="I52" s="26"/>
      <c r="J52" s="27"/>
    </row>
    <row r="53" spans="9:10" ht="15.75" customHeight="1">
      <c r="I53" s="26"/>
      <c r="J53" s="27"/>
    </row>
    <row r="54" spans="9:10" ht="15.75" customHeight="1">
      <c r="I54" s="26"/>
      <c r="J54" s="27"/>
    </row>
    <row r="55" spans="9:10" ht="15.75" customHeight="1">
      <c r="I55" s="26"/>
      <c r="J55" s="27"/>
    </row>
    <row r="56" spans="9:10" ht="15.75" customHeight="1">
      <c r="I56" s="26"/>
      <c r="J56" s="27"/>
    </row>
    <row r="57" spans="9:10" ht="15.75" customHeight="1">
      <c r="I57" s="26"/>
      <c r="J57" s="27"/>
    </row>
    <row r="58" spans="9:10" ht="15.75" customHeight="1">
      <c r="I58" s="26"/>
      <c r="J58" s="27"/>
    </row>
    <row r="59" spans="9:10" ht="15.75" customHeight="1">
      <c r="I59" s="26"/>
      <c r="J59" s="27"/>
    </row>
    <row r="60" spans="9:10" ht="15.75" customHeight="1">
      <c r="I60" s="26"/>
      <c r="J60" s="27"/>
    </row>
    <row r="61" spans="9:10" ht="15.75" customHeight="1">
      <c r="I61" s="26"/>
      <c r="J61" s="27"/>
    </row>
    <row r="62" spans="9:10" ht="15.75" customHeight="1">
      <c r="I62" s="26"/>
      <c r="J62" s="27"/>
    </row>
    <row r="63" spans="9:10" ht="15.75" customHeight="1">
      <c r="I63" s="26"/>
      <c r="J63" s="27"/>
    </row>
    <row r="64" spans="9:10" ht="15.75" customHeight="1">
      <c r="I64" s="26"/>
      <c r="J64" s="27"/>
    </row>
    <row r="65" spans="9:10" ht="15.75" customHeight="1">
      <c r="I65" s="26"/>
      <c r="J65" s="27"/>
    </row>
    <row r="66" spans="9:10" ht="15.75" customHeight="1">
      <c r="I66" s="26"/>
      <c r="J66" s="27"/>
    </row>
    <row r="67" spans="9:10" ht="15.75" customHeight="1">
      <c r="I67" s="26"/>
      <c r="J67" s="27"/>
    </row>
    <row r="68" spans="9:10" ht="15.75" customHeight="1">
      <c r="I68" s="26"/>
      <c r="J68" s="27"/>
    </row>
    <row r="69" spans="9:10" ht="15.75" customHeight="1">
      <c r="I69" s="26"/>
      <c r="J69" s="27"/>
    </row>
    <row r="70" spans="9:10" ht="15.75" customHeight="1">
      <c r="I70" s="26"/>
      <c r="J70" s="27"/>
    </row>
    <row r="71" spans="9:10" ht="15.75" customHeight="1">
      <c r="I71" s="26"/>
      <c r="J71" s="27"/>
    </row>
    <row r="72" spans="9:10" ht="15.75" customHeight="1">
      <c r="I72" s="26"/>
      <c r="J72" s="27"/>
    </row>
    <row r="73" spans="9:10" ht="15.75" customHeight="1">
      <c r="I73" s="26"/>
      <c r="J73" s="27"/>
    </row>
    <row r="74" spans="9:10" ht="15.75" customHeight="1">
      <c r="I74" s="26"/>
      <c r="J74" s="27"/>
    </row>
    <row r="75" spans="9:10" ht="15.75" customHeight="1">
      <c r="I75" s="26"/>
      <c r="J75" s="27"/>
    </row>
    <row r="76" spans="9:10" ht="15.75" customHeight="1">
      <c r="I76" s="26"/>
      <c r="J76" s="27"/>
    </row>
    <row r="77" spans="9:10" ht="15.75" customHeight="1">
      <c r="I77" s="26"/>
      <c r="J77" s="27"/>
    </row>
    <row r="78" spans="9:10" ht="15.75" customHeight="1">
      <c r="I78" s="26"/>
      <c r="J78" s="27"/>
    </row>
    <row r="79" spans="9:10" ht="15.75" customHeight="1">
      <c r="I79" s="26"/>
      <c r="J79" s="27"/>
    </row>
    <row r="80" spans="9:10" ht="15.75" customHeight="1">
      <c r="I80" s="26"/>
      <c r="J80" s="27"/>
    </row>
    <row r="81" spans="9:10" ht="15.75" customHeight="1">
      <c r="I81" s="26"/>
      <c r="J81" s="27"/>
    </row>
    <row r="82" spans="9:10" ht="15.75" customHeight="1">
      <c r="I82" s="26"/>
      <c r="J82" s="27"/>
    </row>
    <row r="83" spans="9:10" ht="15.75" customHeight="1">
      <c r="I83" s="26"/>
      <c r="J83" s="27"/>
    </row>
    <row r="84" spans="9:10" ht="15.75" customHeight="1">
      <c r="I84" s="26"/>
      <c r="J84" s="27"/>
    </row>
    <row r="85" spans="9:10" ht="15.75" customHeight="1">
      <c r="I85" s="26"/>
      <c r="J85" s="27"/>
    </row>
    <row r="86" spans="9:10" ht="15.75" customHeight="1">
      <c r="I86" s="26"/>
      <c r="J86" s="27"/>
    </row>
    <row r="87" spans="9:10" ht="15.75" customHeight="1">
      <c r="I87" s="26"/>
      <c r="J87" s="27"/>
    </row>
    <row r="88" spans="9:10" ht="15.75" customHeight="1">
      <c r="I88" s="26"/>
      <c r="J88" s="27"/>
    </row>
    <row r="89" spans="9:10" ht="15.75" customHeight="1">
      <c r="I89" s="26"/>
      <c r="J89" s="27"/>
    </row>
    <row r="90" spans="9:10" ht="15.75" customHeight="1">
      <c r="I90" s="26"/>
      <c r="J90" s="27"/>
    </row>
    <row r="91" spans="9:10" ht="15.75" customHeight="1">
      <c r="I91" s="26"/>
      <c r="J91" s="27"/>
    </row>
    <row r="92" spans="9:10" ht="15.75" customHeight="1">
      <c r="I92" s="26"/>
      <c r="J92" s="27"/>
    </row>
    <row r="93" spans="9:10" ht="15.75" customHeight="1">
      <c r="I93" s="26"/>
      <c r="J93" s="27"/>
    </row>
    <row r="94" spans="9:10" ht="15.75" customHeight="1">
      <c r="I94" s="26"/>
      <c r="J94" s="27"/>
    </row>
    <row r="95" spans="9:10" ht="15.75" customHeight="1">
      <c r="I95" s="26"/>
      <c r="J95" s="27"/>
    </row>
    <row r="96" spans="9:10" ht="15.75" customHeight="1">
      <c r="I96" s="26"/>
      <c r="J96" s="27"/>
    </row>
    <row r="97" spans="9:10" ht="15.75" customHeight="1">
      <c r="I97" s="26"/>
      <c r="J97" s="27"/>
    </row>
    <row r="98" spans="9:10" ht="15.75" customHeight="1">
      <c r="I98" s="26"/>
      <c r="J98" s="27"/>
    </row>
    <row r="99" spans="9:10" ht="15.75" customHeight="1">
      <c r="I99" s="26"/>
      <c r="J99" s="27"/>
    </row>
    <row r="100" spans="9:10" ht="15.75" customHeight="1">
      <c r="I100" s="26"/>
      <c r="J100" s="27"/>
    </row>
    <row r="101" spans="9:10" ht="15.75" customHeight="1">
      <c r="I101" s="26"/>
      <c r="J101" s="27"/>
    </row>
    <row r="102" spans="9:10" ht="15.75" customHeight="1">
      <c r="I102" s="26"/>
      <c r="J102" s="27"/>
    </row>
    <row r="103" spans="9:10" ht="15.75" customHeight="1">
      <c r="I103" s="26"/>
      <c r="J103" s="27"/>
    </row>
    <row r="104" spans="9:10" ht="15.75" customHeight="1">
      <c r="I104" s="26"/>
      <c r="J104" s="27"/>
    </row>
    <row r="105" spans="9:10" ht="15.75" customHeight="1">
      <c r="I105" s="26"/>
      <c r="J105" s="27"/>
    </row>
    <row r="106" spans="9:10" ht="15.75" customHeight="1">
      <c r="I106" s="26"/>
      <c r="J106" s="27"/>
    </row>
    <row r="107" spans="9:10" ht="15.75" customHeight="1">
      <c r="I107" s="26"/>
      <c r="J107" s="27"/>
    </row>
    <row r="108" spans="9:10" ht="15.75" customHeight="1">
      <c r="I108" s="26"/>
      <c r="J108" s="27"/>
    </row>
    <row r="109" spans="9:10" ht="15.75" customHeight="1">
      <c r="I109" s="26"/>
      <c r="J109" s="27"/>
    </row>
    <row r="110" spans="9:10" ht="15.75" customHeight="1">
      <c r="I110" s="26"/>
      <c r="J110" s="27"/>
    </row>
    <row r="111" spans="9:10" ht="15.75" customHeight="1">
      <c r="I111" s="26"/>
      <c r="J111" s="27"/>
    </row>
    <row r="112" spans="9:10" ht="15.75" customHeight="1">
      <c r="I112" s="26"/>
      <c r="J112" s="27"/>
    </row>
    <row r="113" spans="9:10" ht="15.75" customHeight="1">
      <c r="I113" s="26"/>
      <c r="J113" s="27"/>
    </row>
    <row r="114" spans="9:10" ht="15.75" customHeight="1">
      <c r="I114" s="26"/>
      <c r="J114" s="27"/>
    </row>
    <row r="115" spans="9:10" ht="15.75" customHeight="1">
      <c r="I115" s="26"/>
      <c r="J115" s="27"/>
    </row>
    <row r="116" spans="9:10" ht="15.75" customHeight="1">
      <c r="I116" s="26"/>
      <c r="J116" s="27"/>
    </row>
    <row r="117" spans="9:10" ht="15.75" customHeight="1">
      <c r="I117" s="26"/>
      <c r="J117" s="27"/>
    </row>
    <row r="118" spans="9:10" ht="15.75" customHeight="1">
      <c r="I118" s="26"/>
      <c r="J118" s="27"/>
    </row>
    <row r="119" spans="9:10" ht="15.75" customHeight="1">
      <c r="I119" s="26"/>
      <c r="J119" s="27"/>
    </row>
    <row r="120" spans="9:10" ht="15.75" customHeight="1">
      <c r="I120" s="26"/>
      <c r="J120" s="27"/>
    </row>
    <row r="121" spans="9:10" ht="15.75" customHeight="1">
      <c r="I121" s="26"/>
      <c r="J121" s="27"/>
    </row>
    <row r="122" spans="9:10" ht="15.75" customHeight="1">
      <c r="I122" s="26"/>
      <c r="J122" s="27"/>
    </row>
    <row r="123" spans="9:10" ht="15.75" customHeight="1">
      <c r="I123" s="26"/>
      <c r="J123" s="27"/>
    </row>
    <row r="124" spans="9:10" ht="15.75" customHeight="1">
      <c r="I124" s="26"/>
      <c r="J124" s="27"/>
    </row>
    <row r="125" spans="9:10" ht="15.75" customHeight="1">
      <c r="I125" s="26"/>
      <c r="J125" s="27"/>
    </row>
    <row r="126" spans="9:10" ht="15.75" customHeight="1">
      <c r="I126" s="26"/>
      <c r="J126" s="27"/>
    </row>
    <row r="127" spans="9:10" ht="15.75" customHeight="1">
      <c r="I127" s="26"/>
      <c r="J127" s="27"/>
    </row>
    <row r="128" spans="9:10" ht="15.75" customHeight="1">
      <c r="I128" s="26"/>
      <c r="J128" s="27"/>
    </row>
    <row r="129" spans="9:10" ht="15.75" customHeight="1">
      <c r="I129" s="26"/>
      <c r="J129" s="27"/>
    </row>
    <row r="130" spans="9:10" ht="15.75" customHeight="1">
      <c r="I130" s="26"/>
      <c r="J130" s="27"/>
    </row>
    <row r="131" spans="9:10" ht="15.75" customHeight="1">
      <c r="I131" s="26"/>
      <c r="J131" s="27"/>
    </row>
    <row r="132" spans="9:10" ht="15.75" customHeight="1">
      <c r="I132" s="26"/>
      <c r="J132" s="27"/>
    </row>
    <row r="133" spans="9:10" ht="15.75" customHeight="1">
      <c r="I133" s="26"/>
      <c r="J133" s="27"/>
    </row>
    <row r="134" spans="9:10" ht="15.75" customHeight="1">
      <c r="I134" s="26"/>
      <c r="J134" s="27"/>
    </row>
    <row r="135" spans="9:10" ht="15.75" customHeight="1">
      <c r="I135" s="26"/>
      <c r="J135" s="27"/>
    </row>
    <row r="136" spans="9:10" ht="15.75" customHeight="1">
      <c r="I136" s="26"/>
      <c r="J136" s="27"/>
    </row>
    <row r="137" spans="9:10" ht="15.75" customHeight="1">
      <c r="I137" s="26"/>
      <c r="J137" s="27"/>
    </row>
    <row r="138" spans="9:10" ht="15.75" customHeight="1">
      <c r="I138" s="26"/>
      <c r="J138" s="27"/>
    </row>
    <row r="139" spans="9:10" ht="15.75" customHeight="1">
      <c r="I139" s="26"/>
      <c r="J139" s="27"/>
    </row>
    <row r="140" spans="9:10" ht="15.75" customHeight="1">
      <c r="I140" s="26"/>
      <c r="J140" s="27"/>
    </row>
    <row r="141" spans="9:10" ht="15.75" customHeight="1">
      <c r="I141" s="26"/>
      <c r="J141" s="27"/>
    </row>
    <row r="142" spans="9:10" ht="15.75" customHeight="1">
      <c r="I142" s="26"/>
      <c r="J142" s="27"/>
    </row>
    <row r="143" spans="9:10" ht="15.75" customHeight="1">
      <c r="I143" s="26"/>
      <c r="J143" s="27"/>
    </row>
    <row r="144" spans="9:10" ht="15.75" customHeight="1">
      <c r="I144" s="26"/>
      <c r="J144" s="27"/>
    </row>
    <row r="145" spans="9:10" ht="15.75" customHeight="1">
      <c r="I145" s="26"/>
      <c r="J145" s="27"/>
    </row>
    <row r="146" spans="9:10" ht="15.75" customHeight="1">
      <c r="I146" s="26"/>
      <c r="J146" s="27"/>
    </row>
    <row r="147" spans="9:10" ht="15.75" customHeight="1">
      <c r="I147" s="26"/>
      <c r="J147" s="27"/>
    </row>
    <row r="148" spans="9:10" ht="15.75" customHeight="1">
      <c r="I148" s="26"/>
      <c r="J148" s="27"/>
    </row>
    <row r="149" spans="9:10" ht="15.75" customHeight="1">
      <c r="I149" s="26"/>
      <c r="J149" s="27"/>
    </row>
    <row r="150" spans="9:10" ht="15.75" customHeight="1">
      <c r="I150" s="26"/>
      <c r="J150" s="27"/>
    </row>
    <row r="151" spans="9:10" ht="15.75" customHeight="1">
      <c r="I151" s="26"/>
      <c r="J151" s="27"/>
    </row>
    <row r="152" spans="9:10" ht="15.75" customHeight="1">
      <c r="I152" s="26"/>
      <c r="J152" s="27"/>
    </row>
    <row r="153" spans="9:10" ht="15.75" customHeight="1">
      <c r="I153" s="26"/>
      <c r="J153" s="27"/>
    </row>
    <row r="154" spans="9:10" ht="15.75" customHeight="1">
      <c r="I154" s="26"/>
      <c r="J154" s="27"/>
    </row>
    <row r="155" spans="9:10" ht="15.75" customHeight="1">
      <c r="I155" s="26"/>
      <c r="J155" s="27"/>
    </row>
    <row r="156" spans="9:10" ht="15.75" customHeight="1">
      <c r="I156" s="26"/>
      <c r="J156" s="27"/>
    </row>
    <row r="157" spans="9:10" ht="15.75" customHeight="1">
      <c r="I157" s="26"/>
      <c r="J157" s="27"/>
    </row>
    <row r="158" spans="9:10" ht="15.75" customHeight="1">
      <c r="I158" s="26"/>
      <c r="J158" s="27"/>
    </row>
    <row r="159" spans="9:10" ht="15.75" customHeight="1">
      <c r="I159" s="26"/>
      <c r="J159" s="27"/>
    </row>
    <row r="160" spans="9:10" ht="15.75" customHeight="1">
      <c r="I160" s="26"/>
      <c r="J160" s="27"/>
    </row>
    <row r="161" spans="9:10" ht="15.75" customHeight="1">
      <c r="I161" s="26"/>
      <c r="J161" s="27"/>
    </row>
    <row r="162" spans="9:10" ht="15.75" customHeight="1">
      <c r="I162" s="26"/>
      <c r="J162" s="27"/>
    </row>
    <row r="163" spans="9:10" ht="15.75" customHeight="1">
      <c r="I163" s="26"/>
      <c r="J163" s="27"/>
    </row>
    <row r="164" spans="9:10" ht="15.75" customHeight="1">
      <c r="I164" s="26"/>
      <c r="J164" s="27"/>
    </row>
    <row r="165" spans="9:10" ht="15.75" customHeight="1">
      <c r="I165" s="26"/>
      <c r="J165" s="27"/>
    </row>
    <row r="166" spans="9:10" ht="15.75" customHeight="1">
      <c r="I166" s="26"/>
      <c r="J166" s="27"/>
    </row>
    <row r="167" spans="9:10" ht="15.75" customHeight="1">
      <c r="I167" s="26"/>
      <c r="J167" s="27"/>
    </row>
    <row r="168" spans="9:10" ht="15.75" customHeight="1">
      <c r="I168" s="26"/>
      <c r="J168" s="27"/>
    </row>
    <row r="169" spans="9:10" ht="15.75" customHeight="1">
      <c r="I169" s="26"/>
      <c r="J169" s="27"/>
    </row>
    <row r="170" spans="9:10" ht="15.75" customHeight="1">
      <c r="I170" s="26"/>
      <c r="J170" s="27"/>
    </row>
    <row r="171" spans="9:10" ht="15.75" customHeight="1">
      <c r="I171" s="26"/>
      <c r="J171" s="27"/>
    </row>
    <row r="172" spans="9:10" ht="15.75" customHeight="1">
      <c r="I172" s="26"/>
      <c r="J172" s="27"/>
    </row>
    <row r="173" spans="9:10" ht="15.75" customHeight="1">
      <c r="I173" s="26"/>
      <c r="J173" s="27"/>
    </row>
    <row r="174" spans="9:10" ht="15.75" customHeight="1">
      <c r="I174" s="26"/>
      <c r="J174" s="27"/>
    </row>
    <row r="175" spans="9:10" ht="15.75" customHeight="1">
      <c r="I175" s="26"/>
      <c r="J175" s="27"/>
    </row>
    <row r="176" spans="9:10" ht="15.75" customHeight="1">
      <c r="I176" s="26"/>
      <c r="J176" s="27"/>
    </row>
    <row r="177" spans="9:10" ht="15.75" customHeight="1">
      <c r="I177" s="26"/>
      <c r="J177" s="27"/>
    </row>
    <row r="178" spans="9:10" ht="15.75" customHeight="1">
      <c r="I178" s="26"/>
      <c r="J178" s="27"/>
    </row>
    <row r="179" spans="9:10" ht="15.75" customHeight="1">
      <c r="I179" s="26"/>
      <c r="J179" s="27"/>
    </row>
    <row r="180" spans="9:10" ht="15.75" customHeight="1">
      <c r="I180" s="26"/>
      <c r="J180" s="27"/>
    </row>
    <row r="181" spans="9:10" ht="15.75" customHeight="1">
      <c r="I181" s="26"/>
      <c r="J181" s="27"/>
    </row>
    <row r="182" spans="9:10" ht="15.75" customHeight="1">
      <c r="I182" s="26"/>
      <c r="J182" s="27"/>
    </row>
    <row r="183" spans="9:10" ht="15.75" customHeight="1">
      <c r="I183" s="26"/>
      <c r="J183" s="27"/>
    </row>
    <row r="184" spans="9:10" ht="15.75" customHeight="1">
      <c r="I184" s="26"/>
      <c r="J184" s="27"/>
    </row>
    <row r="185" spans="9:10" ht="15.75" customHeight="1">
      <c r="I185" s="26"/>
      <c r="J185" s="27"/>
    </row>
    <row r="186" spans="9:10" ht="15.75" customHeight="1">
      <c r="I186" s="26"/>
      <c r="J186" s="27"/>
    </row>
    <row r="187" spans="9:10" ht="15.75" customHeight="1">
      <c r="I187" s="26"/>
      <c r="J187" s="27"/>
    </row>
    <row r="188" spans="9:10" ht="15.75" customHeight="1">
      <c r="I188" s="26"/>
      <c r="J188" s="27"/>
    </row>
    <row r="189" spans="9:10" ht="15.75" customHeight="1">
      <c r="I189" s="26"/>
      <c r="J189" s="27"/>
    </row>
    <row r="190" spans="9:10" ht="15.75" customHeight="1">
      <c r="I190" s="26"/>
      <c r="J190" s="27"/>
    </row>
    <row r="191" spans="9:10" ht="15.75" customHeight="1">
      <c r="I191" s="26"/>
      <c r="J191" s="27"/>
    </row>
    <row r="192" spans="9:10" ht="15.75" customHeight="1">
      <c r="I192" s="26"/>
      <c r="J192" s="27"/>
    </row>
    <row r="193" spans="9:10" ht="15.75" customHeight="1">
      <c r="I193" s="26"/>
      <c r="J193" s="27"/>
    </row>
    <row r="194" spans="9:10" ht="15.75" customHeight="1">
      <c r="I194" s="26"/>
      <c r="J194" s="27"/>
    </row>
    <row r="195" spans="9:10" ht="15.75" customHeight="1">
      <c r="I195" s="26"/>
      <c r="J195" s="27"/>
    </row>
    <row r="196" spans="9:10" ht="15.75" customHeight="1">
      <c r="I196" s="26"/>
      <c r="J196" s="27"/>
    </row>
    <row r="197" spans="9:10" ht="15.75" customHeight="1">
      <c r="I197" s="26"/>
      <c r="J197" s="27"/>
    </row>
    <row r="198" spans="9:10" ht="15.75" customHeight="1">
      <c r="I198" s="26"/>
      <c r="J198" s="27"/>
    </row>
    <row r="199" spans="9:10" ht="15.75" customHeight="1">
      <c r="I199" s="26"/>
      <c r="J199" s="27"/>
    </row>
    <row r="200" spans="9:10" ht="15.75" customHeight="1">
      <c r="I200" s="26"/>
      <c r="J200" s="27"/>
    </row>
    <row r="201" spans="9:10" ht="15.75" customHeight="1">
      <c r="I201" s="26"/>
      <c r="J201" s="27"/>
    </row>
    <row r="202" spans="9:10" ht="15.75" customHeight="1">
      <c r="I202" s="26"/>
      <c r="J202" s="27"/>
    </row>
    <row r="203" spans="9:10" ht="15.75" customHeight="1">
      <c r="I203" s="26"/>
      <c r="J203" s="27"/>
    </row>
    <row r="204" spans="9:10" ht="15.75" customHeight="1">
      <c r="I204" s="26"/>
      <c r="J204" s="27"/>
    </row>
    <row r="205" spans="9:10" ht="15.75" customHeight="1">
      <c r="I205" s="26"/>
      <c r="J205" s="27"/>
    </row>
    <row r="206" spans="9:10" ht="15.75" customHeight="1">
      <c r="I206" s="26"/>
      <c r="J206" s="27"/>
    </row>
    <row r="207" spans="9:10" ht="15.75" customHeight="1">
      <c r="I207" s="26"/>
      <c r="J207" s="27"/>
    </row>
    <row r="208" spans="9:10" ht="15.75" customHeight="1">
      <c r="I208" s="26"/>
      <c r="J208" s="27"/>
    </row>
    <row r="209" spans="9:10" ht="15.75" customHeight="1">
      <c r="I209" s="26"/>
      <c r="J209" s="27"/>
    </row>
    <row r="210" spans="9:10" ht="15.75" customHeight="1">
      <c r="I210" s="26"/>
      <c r="J210" s="27"/>
    </row>
    <row r="211" spans="9:10" ht="15.75" customHeight="1">
      <c r="I211" s="26"/>
      <c r="J211" s="27"/>
    </row>
    <row r="212" spans="9:10" ht="15.75" customHeight="1">
      <c r="I212" s="26"/>
      <c r="J212" s="27"/>
    </row>
    <row r="213" spans="9:10" ht="15.75" customHeight="1">
      <c r="I213" s="26"/>
      <c r="J213" s="27"/>
    </row>
    <row r="214" spans="9:10" ht="15.75" customHeight="1">
      <c r="I214" s="26"/>
      <c r="J214" s="27"/>
    </row>
    <row r="215" spans="9:10" ht="15.75" customHeight="1">
      <c r="I215" s="26"/>
      <c r="J215" s="27"/>
    </row>
    <row r="216" spans="9:10" ht="15.75" customHeight="1">
      <c r="I216" s="26"/>
      <c r="J216" s="27"/>
    </row>
    <row r="217" spans="9:10" ht="15.75" customHeight="1">
      <c r="I217" s="26"/>
      <c r="J217" s="27"/>
    </row>
    <row r="218" spans="9:10" ht="15.75" customHeight="1">
      <c r="I218" s="26"/>
      <c r="J218" s="27"/>
    </row>
    <row r="219" spans="9:10" ht="15.75" customHeight="1">
      <c r="I219" s="26"/>
      <c r="J219" s="27"/>
    </row>
    <row r="220" spans="9:10" ht="15.75" customHeight="1">
      <c r="I220" s="26"/>
      <c r="J220" s="27"/>
    </row>
    <row r="221" spans="9:10" ht="15.75" customHeight="1">
      <c r="I221" s="26"/>
      <c r="J221" s="27"/>
    </row>
    <row r="222" spans="9:10" ht="15.75" customHeight="1">
      <c r="I222" s="26"/>
      <c r="J222" s="27"/>
    </row>
    <row r="223" spans="9:10" ht="15.75" customHeight="1">
      <c r="I223" s="26"/>
      <c r="J223" s="27"/>
    </row>
    <row r="224" spans="9:10" ht="15.75" customHeight="1">
      <c r="I224" s="26"/>
      <c r="J224" s="27"/>
    </row>
    <row r="225" spans="9:10" ht="15.75" customHeight="1">
      <c r="I225" s="26"/>
      <c r="J225" s="27"/>
    </row>
    <row r="226" spans="9:10" ht="15.75" customHeight="1">
      <c r="I226" s="26"/>
      <c r="J226" s="27"/>
    </row>
    <row r="227" spans="9:10" ht="15.75" customHeight="1">
      <c r="I227" s="26"/>
      <c r="J227" s="27"/>
    </row>
    <row r="228" spans="9:10" ht="15.75" customHeight="1">
      <c r="I228" s="26"/>
      <c r="J228" s="27"/>
    </row>
    <row r="229" spans="9:10" ht="15.75" customHeight="1">
      <c r="I229" s="26"/>
      <c r="J229" s="27"/>
    </row>
    <row r="230" spans="9:10" ht="15.75" customHeight="1">
      <c r="I230" s="26"/>
      <c r="J230" s="27"/>
    </row>
    <row r="231" spans="9:10" ht="15.75" customHeight="1">
      <c r="I231" s="26"/>
      <c r="J231" s="27"/>
    </row>
    <row r="232" spans="9:10" ht="15.75" customHeight="1">
      <c r="I232" s="26"/>
      <c r="J232" s="27"/>
    </row>
    <row r="233" spans="9:10" ht="15.75" customHeight="1">
      <c r="I233" s="26"/>
      <c r="J233" s="27"/>
    </row>
    <row r="234" spans="9:10" ht="15.75" customHeight="1">
      <c r="I234" s="26"/>
      <c r="J234" s="27"/>
    </row>
    <row r="235" spans="9:10" ht="15.75" customHeight="1">
      <c r="I235" s="26"/>
      <c r="J235" s="27"/>
    </row>
    <row r="236" spans="9:10" ht="15.75" customHeight="1">
      <c r="I236" s="26"/>
      <c r="J236" s="27"/>
    </row>
    <row r="237" spans="9:10" ht="15.75" customHeight="1">
      <c r="I237" s="26"/>
      <c r="J237" s="27"/>
    </row>
    <row r="238" spans="9:10" ht="15.75" customHeight="1">
      <c r="I238" s="26"/>
      <c r="J238" s="27"/>
    </row>
    <row r="239" spans="9:10" ht="15.75" customHeight="1">
      <c r="I239" s="26"/>
      <c r="J239" s="27"/>
    </row>
    <row r="240" spans="9:10" ht="15.75" customHeight="1">
      <c r="I240" s="26"/>
      <c r="J240" s="27"/>
    </row>
    <row r="241" spans="9:10" ht="15.75" customHeight="1">
      <c r="I241" s="26"/>
      <c r="J241" s="27"/>
    </row>
    <row r="242" spans="9:10" ht="15.75" customHeight="1">
      <c r="I242" s="26"/>
      <c r="J242" s="27"/>
    </row>
    <row r="243" spans="9:10" ht="15.75" customHeight="1">
      <c r="I243" s="26"/>
      <c r="J243" s="27"/>
    </row>
    <row r="244" spans="9:10" ht="15.75" customHeight="1">
      <c r="I244" s="26"/>
      <c r="J244" s="27"/>
    </row>
    <row r="245" spans="9:10" ht="15.75" customHeight="1">
      <c r="I245" s="26"/>
      <c r="J245" s="27"/>
    </row>
    <row r="246" spans="9:10" ht="15.75" customHeight="1">
      <c r="I246" s="26"/>
      <c r="J246" s="27"/>
    </row>
    <row r="247" spans="9:10" ht="15.75" customHeight="1">
      <c r="I247" s="26"/>
      <c r="J247" s="27"/>
    </row>
    <row r="248" spans="9:10" ht="15.75" customHeight="1">
      <c r="I248" s="26"/>
      <c r="J248" s="27"/>
    </row>
    <row r="249" spans="9:10" ht="15.75" customHeight="1">
      <c r="I249" s="26"/>
      <c r="J249" s="27"/>
    </row>
    <row r="250" spans="9:10" ht="15.75" customHeight="1">
      <c r="I250" s="26"/>
      <c r="J250" s="27"/>
    </row>
    <row r="251" spans="9:10" ht="15.75" customHeight="1">
      <c r="I251" s="26"/>
      <c r="J251" s="27"/>
    </row>
    <row r="252" spans="9:10" ht="15.75" customHeight="1">
      <c r="I252" s="26"/>
      <c r="J252" s="27"/>
    </row>
    <row r="253" spans="9:10" ht="15.75" customHeight="1">
      <c r="I253" s="26"/>
      <c r="J253" s="27"/>
    </row>
    <row r="254" spans="9:10" ht="15.75" customHeight="1">
      <c r="I254" s="26"/>
      <c r="J254" s="27"/>
    </row>
    <row r="255" spans="9:10" ht="15.75" customHeight="1">
      <c r="I255" s="26"/>
      <c r="J255" s="27"/>
    </row>
    <row r="256" spans="9:10" ht="15.75" customHeight="1">
      <c r="I256" s="26"/>
      <c r="J256" s="27"/>
    </row>
    <row r="257" spans="9:10" ht="15.75" customHeight="1">
      <c r="I257" s="26"/>
      <c r="J257" s="27"/>
    </row>
    <row r="258" spans="9:10" ht="15.75" customHeight="1">
      <c r="I258" s="26"/>
      <c r="J258" s="27"/>
    </row>
    <row r="259" spans="9:10" ht="15.75" customHeight="1">
      <c r="I259" s="26"/>
      <c r="J259" s="27"/>
    </row>
    <row r="260" spans="9:10" ht="15.75" customHeight="1">
      <c r="I260" s="26"/>
      <c r="J260" s="27"/>
    </row>
    <row r="261" spans="9:10" ht="15.75" customHeight="1">
      <c r="I261" s="26"/>
      <c r="J261" s="27"/>
    </row>
    <row r="262" spans="9:10" ht="15.75" customHeight="1">
      <c r="I262" s="26"/>
      <c r="J262" s="27"/>
    </row>
    <row r="263" spans="9:10" ht="15.75" customHeight="1">
      <c r="I263" s="26"/>
      <c r="J263" s="27"/>
    </row>
    <row r="264" spans="9:10" ht="15.75" customHeight="1">
      <c r="I264" s="26"/>
      <c r="J264" s="27"/>
    </row>
    <row r="265" spans="9:10" ht="15.75" customHeight="1">
      <c r="I265" s="26"/>
      <c r="J265" s="27"/>
    </row>
    <row r="266" spans="9:10" ht="15.75" customHeight="1">
      <c r="I266" s="26"/>
      <c r="J266" s="27"/>
    </row>
    <row r="267" spans="9:10" ht="15.75" customHeight="1">
      <c r="I267" s="26"/>
      <c r="J267" s="27"/>
    </row>
    <row r="268" spans="9:10" ht="15.75" customHeight="1">
      <c r="I268" s="26"/>
      <c r="J268" s="27"/>
    </row>
    <row r="269" spans="9:10" ht="15.75" customHeight="1">
      <c r="I269" s="26"/>
      <c r="J269" s="27"/>
    </row>
    <row r="270" spans="9:10" ht="15.75" customHeight="1">
      <c r="I270" s="26"/>
      <c r="J270" s="27"/>
    </row>
    <row r="271" spans="9:10" ht="15.75" customHeight="1">
      <c r="I271" s="26"/>
      <c r="J271" s="27"/>
    </row>
    <row r="272" spans="9:10" ht="15.75" customHeight="1">
      <c r="I272" s="26"/>
      <c r="J272" s="27"/>
    </row>
    <row r="273" spans="9:10" ht="15.75" customHeight="1">
      <c r="I273" s="26"/>
      <c r="J273" s="27"/>
    </row>
    <row r="274" spans="9:10" ht="15.75" customHeight="1">
      <c r="I274" s="26"/>
      <c r="J274" s="27"/>
    </row>
    <row r="275" spans="9:10" ht="15.75" customHeight="1">
      <c r="I275" s="26"/>
      <c r="J275" s="27"/>
    </row>
    <row r="276" spans="9:10" ht="15.75" customHeight="1">
      <c r="I276" s="26"/>
      <c r="J276" s="27"/>
    </row>
    <row r="277" spans="9:10" ht="15.75" customHeight="1">
      <c r="I277" s="26"/>
      <c r="J277" s="27"/>
    </row>
    <row r="278" spans="9:10" ht="15.75" customHeight="1">
      <c r="I278" s="26"/>
      <c r="J278" s="27"/>
    </row>
    <row r="279" spans="9:10" ht="15.75" customHeight="1">
      <c r="I279" s="26"/>
      <c r="J279" s="27"/>
    </row>
    <row r="280" spans="9:10" ht="15.75" customHeight="1">
      <c r="I280" s="26"/>
      <c r="J280" s="27"/>
    </row>
    <row r="281" spans="9:10" ht="15.75" customHeight="1">
      <c r="I281" s="26"/>
      <c r="J281" s="27"/>
    </row>
    <row r="282" spans="9:10" ht="15.75" customHeight="1">
      <c r="I282" s="26"/>
      <c r="J282" s="27"/>
    </row>
    <row r="283" spans="9:10" ht="15.75" customHeight="1">
      <c r="I283" s="26"/>
      <c r="J283" s="27"/>
    </row>
    <row r="284" spans="9:10" ht="15.75" customHeight="1">
      <c r="I284" s="26"/>
      <c r="J284" s="27"/>
    </row>
    <row r="285" spans="9:10" ht="15.75" customHeight="1">
      <c r="I285" s="26"/>
      <c r="J285" s="27"/>
    </row>
    <row r="286" spans="9:10" ht="15.75" customHeight="1">
      <c r="I286" s="26"/>
      <c r="J286" s="27"/>
    </row>
    <row r="287" spans="9:10" ht="15.75" customHeight="1">
      <c r="I287" s="26"/>
      <c r="J287" s="27"/>
    </row>
    <row r="288" spans="9:10" ht="15.75" customHeight="1">
      <c r="I288" s="26"/>
      <c r="J288" s="27"/>
    </row>
    <row r="289" spans="9:10" ht="15.75" customHeight="1">
      <c r="I289" s="26"/>
      <c r="J289" s="27"/>
    </row>
    <row r="290" spans="9:10" ht="15.75" customHeight="1">
      <c r="I290" s="26"/>
      <c r="J290" s="27"/>
    </row>
    <row r="291" spans="9:10" ht="15.75" customHeight="1">
      <c r="I291" s="26"/>
      <c r="J291" s="27"/>
    </row>
    <row r="292" spans="9:10" ht="15.75" customHeight="1">
      <c r="I292" s="26"/>
      <c r="J292" s="27"/>
    </row>
    <row r="293" spans="9:10" ht="15.75" customHeight="1">
      <c r="I293" s="26"/>
      <c r="J293" s="27"/>
    </row>
    <row r="294" spans="9:10" ht="15.75" customHeight="1">
      <c r="I294" s="26"/>
      <c r="J294" s="27"/>
    </row>
    <row r="295" spans="9:10" ht="15.75" customHeight="1">
      <c r="I295" s="26"/>
      <c r="J295" s="27"/>
    </row>
    <row r="296" spans="9:10" ht="15.75" customHeight="1">
      <c r="I296" s="26"/>
      <c r="J296" s="27"/>
    </row>
    <row r="297" spans="9:10" ht="15.75" customHeight="1">
      <c r="I297" s="26"/>
      <c r="J297" s="27"/>
    </row>
    <row r="298" spans="9:10" ht="15.75" customHeight="1">
      <c r="I298" s="26"/>
      <c r="J298" s="27"/>
    </row>
    <row r="299" spans="9:10" ht="15.75" customHeight="1">
      <c r="I299" s="26"/>
      <c r="J299" s="27"/>
    </row>
    <row r="300" spans="9:10" ht="15.75" customHeight="1">
      <c r="I300" s="26"/>
      <c r="J300" s="27"/>
    </row>
    <row r="301" spans="9:10" ht="15.75" customHeight="1">
      <c r="I301" s="26"/>
      <c r="J301" s="27"/>
    </row>
    <row r="302" spans="9:10" ht="15.75" customHeight="1">
      <c r="I302" s="26"/>
      <c r="J302" s="27"/>
    </row>
    <row r="303" spans="9:10" ht="15.75" customHeight="1">
      <c r="I303" s="26"/>
      <c r="J303" s="27"/>
    </row>
    <row r="304" spans="9:10" ht="15.75" customHeight="1">
      <c r="I304" s="26"/>
      <c r="J304" s="27"/>
    </row>
    <row r="305" spans="9:10" ht="15.75" customHeight="1">
      <c r="I305" s="26"/>
      <c r="J305" s="27"/>
    </row>
    <row r="306" spans="9:10" ht="15.75" customHeight="1">
      <c r="I306" s="26"/>
      <c r="J306" s="27"/>
    </row>
    <row r="307" spans="9:10" ht="15.75" customHeight="1">
      <c r="I307" s="26"/>
      <c r="J307" s="27"/>
    </row>
    <row r="308" spans="9:10" ht="15.75" customHeight="1">
      <c r="I308" s="26"/>
      <c r="J308" s="27"/>
    </row>
    <row r="309" spans="9:10" ht="15.75" customHeight="1">
      <c r="I309" s="26"/>
      <c r="J309" s="27"/>
    </row>
    <row r="310" spans="9:10" ht="15.75" customHeight="1">
      <c r="I310" s="26"/>
      <c r="J310" s="27"/>
    </row>
    <row r="311" spans="9:10" ht="15.75" customHeight="1">
      <c r="I311" s="26"/>
      <c r="J311" s="27"/>
    </row>
    <row r="312" spans="9:10" ht="15.75" customHeight="1">
      <c r="I312" s="26"/>
      <c r="J312" s="27"/>
    </row>
    <row r="313" spans="9:10" ht="15.75" customHeight="1">
      <c r="I313" s="26"/>
      <c r="J313" s="27"/>
    </row>
    <row r="314" spans="9:10" ht="15.75" customHeight="1">
      <c r="I314" s="26"/>
      <c r="J314" s="27"/>
    </row>
    <row r="315" spans="9:10" ht="15.75" customHeight="1">
      <c r="I315" s="26"/>
      <c r="J315" s="27"/>
    </row>
    <row r="316" spans="9:10" ht="15.75" customHeight="1">
      <c r="I316" s="26"/>
      <c r="J316" s="27"/>
    </row>
    <row r="317" spans="9:10" ht="15.75" customHeight="1">
      <c r="I317" s="26"/>
      <c r="J317" s="27"/>
    </row>
    <row r="318" spans="9:10" ht="15.75" customHeight="1">
      <c r="I318" s="26"/>
      <c r="J318" s="27"/>
    </row>
    <row r="319" spans="9:10" ht="15.75" customHeight="1">
      <c r="I319" s="26"/>
      <c r="J319" s="27"/>
    </row>
    <row r="320" spans="9:10" ht="15.75" customHeight="1">
      <c r="I320" s="26"/>
      <c r="J320" s="27"/>
    </row>
    <row r="321" spans="9:10" ht="15.75" customHeight="1">
      <c r="I321" s="26"/>
      <c r="J321" s="27"/>
    </row>
    <row r="322" spans="9:10" ht="15.75" customHeight="1">
      <c r="I322" s="26"/>
      <c r="J322" s="27"/>
    </row>
    <row r="323" spans="9:10" ht="15.75" customHeight="1">
      <c r="I323" s="26"/>
      <c r="J323" s="27"/>
    </row>
    <row r="324" spans="9:10" ht="15.75" customHeight="1">
      <c r="I324" s="26"/>
      <c r="J324" s="27"/>
    </row>
    <row r="325" spans="9:10" ht="15.75" customHeight="1">
      <c r="I325" s="26"/>
      <c r="J325" s="27"/>
    </row>
    <row r="326" spans="9:10" ht="15.75" customHeight="1">
      <c r="I326" s="26"/>
      <c r="J326" s="27"/>
    </row>
    <row r="327" spans="9:10" ht="15.75" customHeight="1">
      <c r="I327" s="26"/>
      <c r="J327" s="27"/>
    </row>
    <row r="328" spans="9:10" ht="15.75" customHeight="1">
      <c r="I328" s="26"/>
      <c r="J328" s="27"/>
    </row>
    <row r="329" spans="9:10" ht="15.75" customHeight="1">
      <c r="I329" s="26"/>
      <c r="J329" s="27"/>
    </row>
    <row r="330" spans="9:10" ht="15.75" customHeight="1">
      <c r="I330" s="26"/>
      <c r="J330" s="27"/>
    </row>
    <row r="331" spans="9:10" ht="15.75" customHeight="1">
      <c r="I331" s="26"/>
      <c r="J331" s="27"/>
    </row>
    <row r="332" spans="9:10" ht="15.75" customHeight="1">
      <c r="I332" s="26"/>
      <c r="J332" s="27"/>
    </row>
    <row r="333" spans="9:10" ht="15.75" customHeight="1">
      <c r="I333" s="26"/>
      <c r="J333" s="27"/>
    </row>
    <row r="334" spans="9:10" ht="15.75" customHeight="1">
      <c r="I334" s="26"/>
      <c r="J334" s="27"/>
    </row>
    <row r="335" spans="9:10" ht="15.75" customHeight="1">
      <c r="I335" s="26"/>
      <c r="J335" s="27"/>
    </row>
    <row r="336" spans="9:10" ht="15.75" customHeight="1">
      <c r="I336" s="26"/>
      <c r="J336" s="27"/>
    </row>
    <row r="337" spans="9:10" ht="15.75" customHeight="1">
      <c r="I337" s="26"/>
      <c r="J337" s="27"/>
    </row>
    <row r="338" spans="9:10" ht="15.75" customHeight="1">
      <c r="I338" s="26"/>
      <c r="J338" s="27"/>
    </row>
    <row r="339" spans="9:10" ht="15.75" customHeight="1">
      <c r="I339" s="26"/>
      <c r="J339" s="27"/>
    </row>
    <row r="340" spans="9:10" ht="15.75" customHeight="1">
      <c r="I340" s="26"/>
      <c r="J340" s="27"/>
    </row>
    <row r="341" spans="9:10" ht="15.75" customHeight="1">
      <c r="I341" s="26"/>
      <c r="J341" s="27"/>
    </row>
    <row r="342" spans="9:10" ht="15.75" customHeight="1">
      <c r="I342" s="26"/>
      <c r="J342" s="27"/>
    </row>
    <row r="343" spans="9:10" ht="15.75" customHeight="1">
      <c r="I343" s="26"/>
      <c r="J343" s="27"/>
    </row>
    <row r="344" spans="9:10" ht="15.75" customHeight="1">
      <c r="I344" s="26"/>
      <c r="J344" s="27"/>
    </row>
    <row r="345" spans="9:10" ht="15.75" customHeight="1">
      <c r="I345" s="26"/>
      <c r="J345" s="27"/>
    </row>
    <row r="346" spans="9:10" ht="15.75" customHeight="1">
      <c r="I346" s="26"/>
      <c r="J346" s="27"/>
    </row>
    <row r="347" spans="9:10" ht="15.75" customHeight="1">
      <c r="I347" s="26"/>
      <c r="J347" s="27"/>
    </row>
    <row r="348" spans="9:10" ht="15.75" customHeight="1">
      <c r="I348" s="26"/>
      <c r="J348" s="27"/>
    </row>
    <row r="349" spans="9:10" ht="15.75" customHeight="1">
      <c r="I349" s="26"/>
      <c r="J349" s="27"/>
    </row>
    <row r="350" spans="9:10" ht="15.75" customHeight="1">
      <c r="I350" s="26"/>
      <c r="J350" s="27"/>
    </row>
    <row r="351" spans="9:10" ht="15.75" customHeight="1">
      <c r="I351" s="26"/>
      <c r="J351" s="27"/>
    </row>
    <row r="352" spans="9:10" ht="15.75" customHeight="1">
      <c r="I352" s="26"/>
      <c r="J352" s="27"/>
    </row>
    <row r="353" spans="9:10" ht="15.75" customHeight="1">
      <c r="I353" s="26"/>
      <c r="J353" s="27"/>
    </row>
    <row r="354" spans="9:10" ht="15.75" customHeight="1">
      <c r="I354" s="26"/>
      <c r="J354" s="27"/>
    </row>
    <row r="355" spans="9:10" ht="15.75" customHeight="1">
      <c r="I355" s="26"/>
      <c r="J355" s="27"/>
    </row>
    <row r="356" spans="9:10" ht="15.75" customHeight="1">
      <c r="I356" s="26"/>
      <c r="J356" s="27"/>
    </row>
    <row r="357" spans="9:10" ht="15.75" customHeight="1">
      <c r="I357" s="26"/>
      <c r="J357" s="27"/>
    </row>
    <row r="358" spans="9:10" ht="15.75" customHeight="1">
      <c r="I358" s="26"/>
      <c r="J358" s="27"/>
    </row>
    <row r="359" spans="9:10" ht="15.75" customHeight="1">
      <c r="I359" s="26"/>
      <c r="J359" s="27"/>
    </row>
    <row r="360" spans="9:10" ht="15.75" customHeight="1">
      <c r="I360" s="26"/>
      <c r="J360" s="27"/>
    </row>
    <row r="361" spans="9:10" ht="15.75" customHeight="1">
      <c r="I361" s="26"/>
      <c r="J361" s="27"/>
    </row>
    <row r="362" spans="9:10" ht="15.75" customHeight="1">
      <c r="I362" s="26"/>
      <c r="J362" s="27"/>
    </row>
    <row r="363" spans="9:10" ht="15.75" customHeight="1">
      <c r="I363" s="26"/>
      <c r="J363" s="27"/>
    </row>
    <row r="364" spans="9:10" ht="15.75" customHeight="1">
      <c r="I364" s="26"/>
      <c r="J364" s="27"/>
    </row>
    <row r="365" spans="9:10" ht="15.75" customHeight="1">
      <c r="I365" s="26"/>
      <c r="J365" s="27"/>
    </row>
    <row r="366" spans="9:10" ht="15.75" customHeight="1">
      <c r="I366" s="26"/>
      <c r="J366" s="27"/>
    </row>
    <row r="367" spans="9:10" ht="15.75" customHeight="1">
      <c r="I367" s="26"/>
      <c r="J367" s="27"/>
    </row>
    <row r="368" spans="9:10" ht="15.75" customHeight="1">
      <c r="I368" s="26"/>
      <c r="J368" s="27"/>
    </row>
    <row r="369" spans="9:10" ht="15.75" customHeight="1">
      <c r="I369" s="26"/>
      <c r="J369" s="27"/>
    </row>
    <row r="370" spans="9:10" ht="15.75" customHeight="1">
      <c r="I370" s="26"/>
      <c r="J370" s="27"/>
    </row>
    <row r="371" spans="9:10" ht="15.75" customHeight="1">
      <c r="I371" s="26"/>
      <c r="J371" s="27"/>
    </row>
    <row r="372" spans="9:10" ht="15.75" customHeight="1">
      <c r="I372" s="26"/>
      <c r="J372" s="27"/>
    </row>
    <row r="373" spans="9:10" ht="15.75" customHeight="1">
      <c r="I373" s="26"/>
      <c r="J373" s="27"/>
    </row>
    <row r="374" spans="9:10" ht="15.75" customHeight="1">
      <c r="I374" s="26"/>
      <c r="J374" s="27"/>
    </row>
    <row r="375" spans="9:10" ht="15.75" customHeight="1">
      <c r="I375" s="26"/>
      <c r="J375" s="27"/>
    </row>
    <row r="376" spans="9:10" ht="15.75" customHeight="1">
      <c r="I376" s="26"/>
      <c r="J376" s="27"/>
    </row>
    <row r="377" spans="9:10" ht="15.75" customHeight="1">
      <c r="I377" s="26"/>
      <c r="J377" s="27"/>
    </row>
    <row r="378" spans="9:10" ht="15.75" customHeight="1">
      <c r="I378" s="26"/>
      <c r="J378" s="27"/>
    </row>
    <row r="379" spans="9:10" ht="15.75" customHeight="1">
      <c r="I379" s="26"/>
      <c r="J379" s="27"/>
    </row>
    <row r="380" spans="9:10" ht="15.75" customHeight="1">
      <c r="I380" s="26"/>
      <c r="J380" s="27"/>
    </row>
    <row r="381" spans="9:10" ht="15.75" customHeight="1">
      <c r="I381" s="26"/>
      <c r="J381" s="27"/>
    </row>
    <row r="382" spans="9:10" ht="15.75" customHeight="1">
      <c r="I382" s="26"/>
      <c r="J382" s="27"/>
    </row>
    <row r="383" spans="9:10" ht="15.75" customHeight="1">
      <c r="I383" s="26"/>
      <c r="J383" s="27"/>
    </row>
    <row r="384" spans="9:10" ht="15.75" customHeight="1">
      <c r="I384" s="26"/>
      <c r="J384" s="27"/>
    </row>
    <row r="385" spans="9:10" ht="15.75" customHeight="1">
      <c r="I385" s="26"/>
      <c r="J385" s="27"/>
    </row>
    <row r="386" spans="9:10" ht="15.75" customHeight="1">
      <c r="I386" s="26"/>
      <c r="J386" s="27"/>
    </row>
    <row r="387" spans="9:10" ht="15.75" customHeight="1">
      <c r="I387" s="26"/>
      <c r="J387" s="27"/>
    </row>
    <row r="388" spans="9:10" ht="15.75" customHeight="1">
      <c r="I388" s="26"/>
      <c r="J388" s="27"/>
    </row>
    <row r="389" spans="9:10" ht="15.75" customHeight="1">
      <c r="I389" s="26"/>
      <c r="J389" s="27"/>
    </row>
    <row r="390" spans="9:10" ht="15.75" customHeight="1">
      <c r="I390" s="26"/>
      <c r="J390" s="27"/>
    </row>
    <row r="391" spans="9:10" ht="15.75" customHeight="1">
      <c r="I391" s="26"/>
      <c r="J391" s="27"/>
    </row>
    <row r="392" spans="9:10" ht="15.75" customHeight="1">
      <c r="I392" s="26"/>
      <c r="J392" s="27"/>
    </row>
    <row r="393" spans="9:10" ht="15.75" customHeight="1">
      <c r="I393" s="26"/>
      <c r="J393" s="27"/>
    </row>
    <row r="394" spans="9:10" ht="15.75" customHeight="1">
      <c r="I394" s="26"/>
      <c r="J394" s="27"/>
    </row>
    <row r="395" spans="9:10" ht="15.75" customHeight="1">
      <c r="I395" s="26"/>
      <c r="J395" s="27"/>
    </row>
    <row r="396" spans="9:10" ht="15.75" customHeight="1">
      <c r="I396" s="26"/>
      <c r="J396" s="27"/>
    </row>
    <row r="397" spans="9:10" ht="15.75" customHeight="1">
      <c r="I397" s="26"/>
      <c r="J397" s="27"/>
    </row>
    <row r="398" spans="9:10" ht="15.75" customHeight="1">
      <c r="I398" s="26"/>
      <c r="J398" s="27"/>
    </row>
    <row r="399" spans="9:10" ht="15.75" customHeight="1">
      <c r="I399" s="26"/>
      <c r="J399" s="27"/>
    </row>
    <row r="400" spans="9:10" ht="15.75" customHeight="1">
      <c r="I400" s="26"/>
      <c r="J400" s="27"/>
    </row>
    <row r="401" spans="9:10" ht="15.75" customHeight="1">
      <c r="I401" s="26"/>
      <c r="J401" s="27"/>
    </row>
    <row r="402" spans="9:10" ht="15.75" customHeight="1">
      <c r="I402" s="26"/>
      <c r="J402" s="27"/>
    </row>
    <row r="403" spans="9:10" ht="15.75" customHeight="1">
      <c r="I403" s="26"/>
      <c r="J403" s="27"/>
    </row>
    <row r="404" spans="9:10" ht="15.75" customHeight="1">
      <c r="I404" s="26"/>
      <c r="J404" s="27"/>
    </row>
    <row r="405" spans="9:10" ht="15.75" customHeight="1">
      <c r="I405" s="26"/>
      <c r="J405" s="27"/>
    </row>
    <row r="406" spans="9:10" ht="15.75" customHeight="1">
      <c r="I406" s="26"/>
      <c r="J406" s="27"/>
    </row>
    <row r="407" spans="9:10" ht="15.75" customHeight="1">
      <c r="I407" s="26"/>
      <c r="J407" s="27"/>
    </row>
    <row r="408" spans="9:10" ht="15.75" customHeight="1">
      <c r="I408" s="26"/>
      <c r="J408" s="27"/>
    </row>
    <row r="409" spans="9:10" ht="15.75" customHeight="1">
      <c r="I409" s="26"/>
      <c r="J409" s="27"/>
    </row>
    <row r="410" spans="9:10" ht="15.75" customHeight="1">
      <c r="I410" s="26"/>
      <c r="J410" s="27"/>
    </row>
    <row r="411" spans="9:10" ht="15.75" customHeight="1">
      <c r="I411" s="26"/>
      <c r="J411" s="27"/>
    </row>
    <row r="412" spans="9:10" ht="15.75" customHeight="1">
      <c r="I412" s="26"/>
      <c r="J412" s="27"/>
    </row>
    <row r="413" spans="9:10" ht="15.75" customHeight="1">
      <c r="I413" s="26"/>
      <c r="J413" s="27"/>
    </row>
    <row r="414" spans="9:10" ht="15.75" customHeight="1">
      <c r="I414" s="26"/>
      <c r="J414" s="27"/>
    </row>
    <row r="415" spans="9:10" ht="15.75" customHeight="1">
      <c r="I415" s="26"/>
      <c r="J415" s="27"/>
    </row>
    <row r="416" spans="9:10" ht="15.75" customHeight="1">
      <c r="I416" s="26"/>
      <c r="J416" s="27"/>
    </row>
    <row r="417" spans="9:10" ht="15.75" customHeight="1">
      <c r="I417" s="26"/>
      <c r="J417" s="27"/>
    </row>
    <row r="418" spans="9:10" ht="15.75" customHeight="1">
      <c r="I418" s="26"/>
      <c r="J418" s="27"/>
    </row>
    <row r="419" spans="9:10" ht="15.75" customHeight="1">
      <c r="I419" s="26"/>
      <c r="J419" s="27"/>
    </row>
    <row r="420" spans="9:10" ht="15.75" customHeight="1">
      <c r="I420" s="26"/>
      <c r="J420" s="27"/>
    </row>
    <row r="421" spans="9:10" ht="15.75" customHeight="1">
      <c r="I421" s="26"/>
      <c r="J421" s="27"/>
    </row>
    <row r="422" spans="9:10" ht="15.75" customHeight="1">
      <c r="I422" s="26"/>
      <c r="J422" s="27"/>
    </row>
    <row r="423" spans="9:10" ht="15.75" customHeight="1">
      <c r="I423" s="26"/>
      <c r="J423" s="27"/>
    </row>
    <row r="424" spans="9:10" ht="15.75" customHeight="1">
      <c r="I424" s="26"/>
      <c r="J424" s="27"/>
    </row>
    <row r="425" spans="9:10" ht="15.75" customHeight="1">
      <c r="I425" s="26"/>
      <c r="J425" s="27"/>
    </row>
    <row r="426" spans="9:10" ht="15.75" customHeight="1">
      <c r="I426" s="26"/>
      <c r="J426" s="27"/>
    </row>
    <row r="427" spans="9:10" ht="15.75" customHeight="1">
      <c r="I427" s="26"/>
      <c r="J427" s="27"/>
    </row>
    <row r="428" spans="9:10" ht="15.75" customHeight="1">
      <c r="I428" s="26"/>
      <c r="J428" s="27"/>
    </row>
    <row r="429" spans="9:10" ht="15.75" customHeight="1">
      <c r="I429" s="26"/>
      <c r="J429" s="27"/>
    </row>
    <row r="430" spans="9:10" ht="15.75" customHeight="1">
      <c r="I430" s="26"/>
      <c r="J430" s="27"/>
    </row>
    <row r="431" spans="9:10" ht="15.75" customHeight="1">
      <c r="I431" s="26"/>
      <c r="J431" s="27"/>
    </row>
    <row r="432" spans="9:10" ht="15.75" customHeight="1">
      <c r="I432" s="26"/>
      <c r="J432" s="27"/>
    </row>
    <row r="433" spans="9:10" ht="15.75" customHeight="1">
      <c r="I433" s="26"/>
      <c r="J433" s="27"/>
    </row>
    <row r="434" spans="9:10" ht="15.75" customHeight="1">
      <c r="I434" s="26"/>
      <c r="J434" s="27"/>
    </row>
    <row r="435" spans="9:10" ht="15.75" customHeight="1">
      <c r="I435" s="26"/>
      <c r="J435" s="27"/>
    </row>
    <row r="436" spans="9:10" ht="15.75" customHeight="1">
      <c r="I436" s="26"/>
      <c r="J436" s="27"/>
    </row>
    <row r="437" spans="9:10" ht="15.75" customHeight="1">
      <c r="I437" s="26"/>
      <c r="J437" s="27"/>
    </row>
    <row r="438" spans="9:10" ht="15.75" customHeight="1">
      <c r="I438" s="26"/>
      <c r="J438" s="27"/>
    </row>
    <row r="439" spans="9:10" ht="15.75" customHeight="1">
      <c r="I439" s="26"/>
      <c r="J439" s="27"/>
    </row>
    <row r="440" spans="9:10" ht="15.75" customHeight="1">
      <c r="I440" s="26"/>
      <c r="J440" s="27"/>
    </row>
    <row r="441" spans="9:10" ht="15.75" customHeight="1">
      <c r="I441" s="26"/>
      <c r="J441" s="27"/>
    </row>
    <row r="442" spans="9:10" ht="15.75" customHeight="1">
      <c r="I442" s="26"/>
      <c r="J442" s="27"/>
    </row>
    <row r="443" spans="9:10" ht="15.75" customHeight="1">
      <c r="I443" s="26"/>
      <c r="J443" s="27"/>
    </row>
    <row r="444" spans="9:10" ht="15.75" customHeight="1">
      <c r="I444" s="26"/>
      <c r="J444" s="27"/>
    </row>
    <row r="445" spans="9:10" ht="15.75" customHeight="1">
      <c r="I445" s="26"/>
      <c r="J445" s="27"/>
    </row>
    <row r="446" spans="9:10" ht="15.75" customHeight="1">
      <c r="I446" s="26"/>
      <c r="J446" s="27"/>
    </row>
    <row r="447" spans="9:10" ht="15.75" customHeight="1">
      <c r="I447" s="26"/>
      <c r="J447" s="27"/>
    </row>
    <row r="448" spans="9:10" ht="15.75" customHeight="1">
      <c r="I448" s="26"/>
      <c r="J448" s="27"/>
    </row>
    <row r="449" spans="9:10" ht="15.75" customHeight="1">
      <c r="I449" s="26"/>
      <c r="J449" s="27"/>
    </row>
    <row r="450" spans="9:10" ht="15.75" customHeight="1">
      <c r="I450" s="26"/>
      <c r="J450" s="27"/>
    </row>
    <row r="451" spans="9:10" ht="15.75" customHeight="1">
      <c r="I451" s="26"/>
      <c r="J451" s="27"/>
    </row>
    <row r="452" spans="9:10" ht="15.75" customHeight="1">
      <c r="I452" s="26"/>
      <c r="J452" s="27"/>
    </row>
    <row r="453" spans="9:10" ht="15.75" customHeight="1">
      <c r="I453" s="26"/>
      <c r="J453" s="27"/>
    </row>
    <row r="454" spans="9:10" ht="15.75" customHeight="1">
      <c r="I454" s="26"/>
      <c r="J454" s="27"/>
    </row>
    <row r="455" spans="9:10" ht="15.75" customHeight="1">
      <c r="I455" s="26"/>
      <c r="J455" s="27"/>
    </row>
    <row r="456" spans="9:10" ht="15.75" customHeight="1">
      <c r="I456" s="26"/>
      <c r="J456" s="27"/>
    </row>
    <row r="457" spans="9:10" ht="15.75" customHeight="1">
      <c r="I457" s="26"/>
      <c r="J457" s="27"/>
    </row>
    <row r="458" spans="9:10" ht="15.75" customHeight="1">
      <c r="I458" s="26"/>
      <c r="J458" s="27"/>
    </row>
    <row r="459" spans="9:10" ht="15.75" customHeight="1">
      <c r="I459" s="26"/>
      <c r="J459" s="27"/>
    </row>
    <row r="460" spans="9:10" ht="15.75" customHeight="1">
      <c r="I460" s="26"/>
      <c r="J460" s="27"/>
    </row>
    <row r="461" spans="9:10" ht="15.75" customHeight="1">
      <c r="I461" s="26"/>
      <c r="J461" s="27"/>
    </row>
    <row r="462" spans="9:10" ht="15.75" customHeight="1">
      <c r="I462" s="26"/>
      <c r="J462" s="27"/>
    </row>
    <row r="463" spans="9:10" ht="15.75" customHeight="1">
      <c r="I463" s="26"/>
      <c r="J463" s="27"/>
    </row>
    <row r="464" spans="9:10" ht="15.75" customHeight="1">
      <c r="I464" s="26"/>
      <c r="J464" s="27"/>
    </row>
    <row r="465" spans="9:10" ht="15.75" customHeight="1">
      <c r="I465" s="26"/>
      <c r="J465" s="27"/>
    </row>
    <row r="466" spans="9:10" ht="15.75" customHeight="1">
      <c r="I466" s="26"/>
      <c r="J466" s="27"/>
    </row>
    <row r="467" spans="9:10" ht="15.75" customHeight="1">
      <c r="I467" s="26"/>
      <c r="J467" s="27"/>
    </row>
    <row r="468" spans="9:10" ht="15.75" customHeight="1">
      <c r="I468" s="26"/>
      <c r="J468" s="27"/>
    </row>
    <row r="469" spans="9:10" ht="15.75" customHeight="1">
      <c r="I469" s="26"/>
      <c r="J469" s="27"/>
    </row>
    <row r="470" spans="9:10" ht="15.75" customHeight="1">
      <c r="I470" s="26"/>
      <c r="J470" s="27"/>
    </row>
    <row r="471" spans="9:10" ht="15.75" customHeight="1">
      <c r="I471" s="26"/>
      <c r="J471" s="27"/>
    </row>
    <row r="472" spans="9:10" ht="15.75" customHeight="1">
      <c r="I472" s="26"/>
      <c r="J472" s="27"/>
    </row>
    <row r="473" spans="9:10" ht="15.75" customHeight="1">
      <c r="I473" s="26"/>
      <c r="J473" s="27"/>
    </row>
    <row r="474" spans="9:10" ht="15.75" customHeight="1">
      <c r="I474" s="26"/>
      <c r="J474" s="27"/>
    </row>
    <row r="475" spans="9:10" ht="15.75" customHeight="1">
      <c r="I475" s="26"/>
      <c r="J475" s="27"/>
    </row>
    <row r="476" spans="9:10" ht="15.75" customHeight="1">
      <c r="I476" s="26"/>
      <c r="J476" s="27"/>
    </row>
    <row r="477" spans="9:10" ht="15.75" customHeight="1">
      <c r="I477" s="26"/>
      <c r="J477" s="27"/>
    </row>
    <row r="478" spans="9:10" ht="15.75" customHeight="1">
      <c r="I478" s="26"/>
      <c r="J478" s="27"/>
    </row>
    <row r="479" spans="9:10" ht="15.75" customHeight="1">
      <c r="I479" s="26"/>
      <c r="J479" s="27"/>
    </row>
    <row r="480" spans="9:10" ht="15.75" customHeight="1">
      <c r="I480" s="26"/>
      <c r="J480" s="27"/>
    </row>
    <row r="481" spans="9:10" ht="15.75" customHeight="1">
      <c r="I481" s="26"/>
      <c r="J481" s="27"/>
    </row>
    <row r="482" spans="9:10" ht="15.75" customHeight="1">
      <c r="I482" s="26"/>
      <c r="J482" s="27"/>
    </row>
    <row r="483" spans="9:10" ht="15.75" customHeight="1">
      <c r="I483" s="26"/>
      <c r="J483" s="27"/>
    </row>
    <row r="484" spans="9:10" ht="15.75" customHeight="1">
      <c r="I484" s="26"/>
      <c r="J484" s="27"/>
    </row>
    <row r="485" spans="9:10" ht="15.75" customHeight="1">
      <c r="I485" s="26"/>
      <c r="J485" s="27"/>
    </row>
    <row r="486" spans="9:10" ht="15.75" customHeight="1">
      <c r="I486" s="26"/>
      <c r="J486" s="27"/>
    </row>
    <row r="487" spans="9:10" ht="15.75" customHeight="1">
      <c r="I487" s="26"/>
      <c r="J487" s="27"/>
    </row>
    <row r="488" spans="9:10" ht="15.75" customHeight="1">
      <c r="I488" s="26"/>
      <c r="J488" s="27"/>
    </row>
    <row r="489" spans="9:10" ht="15.75" customHeight="1">
      <c r="I489" s="26"/>
      <c r="J489" s="27"/>
    </row>
    <row r="490" spans="9:10" ht="15.75" customHeight="1">
      <c r="I490" s="26"/>
      <c r="J490" s="27"/>
    </row>
    <row r="491" spans="9:10" ht="15.75" customHeight="1">
      <c r="I491" s="26"/>
      <c r="J491" s="27"/>
    </row>
    <row r="492" spans="9:10" ht="15.75" customHeight="1">
      <c r="I492" s="26"/>
      <c r="J492" s="27"/>
    </row>
    <row r="493" spans="9:10" ht="15.75" customHeight="1">
      <c r="I493" s="26"/>
      <c r="J493" s="27"/>
    </row>
    <row r="494" spans="9:10" ht="15.75" customHeight="1">
      <c r="I494" s="26"/>
      <c r="J494" s="27"/>
    </row>
    <row r="495" spans="9:10" ht="15.75" customHeight="1">
      <c r="I495" s="26"/>
      <c r="J495" s="27"/>
    </row>
    <row r="496" spans="9:10" ht="15.75" customHeight="1">
      <c r="I496" s="26"/>
      <c r="J496" s="27"/>
    </row>
    <row r="497" spans="9:10" ht="15.75" customHeight="1">
      <c r="I497" s="26"/>
      <c r="J497" s="27"/>
    </row>
    <row r="498" spans="9:10" ht="15.75" customHeight="1">
      <c r="I498" s="26"/>
      <c r="J498" s="27"/>
    </row>
    <row r="499" spans="9:10" ht="15.75" customHeight="1">
      <c r="I499" s="26"/>
      <c r="J499" s="27"/>
    </row>
    <row r="500" spans="9:10" ht="15.75" customHeight="1">
      <c r="I500" s="26"/>
      <c r="J500" s="27"/>
    </row>
    <row r="501" spans="9:10" ht="15.75" customHeight="1">
      <c r="I501" s="26"/>
      <c r="J501" s="27"/>
    </row>
    <row r="502" spans="9:10" ht="15.75" customHeight="1">
      <c r="I502" s="26"/>
      <c r="J502" s="27"/>
    </row>
    <row r="503" spans="9:10" ht="15.75" customHeight="1">
      <c r="I503" s="26"/>
      <c r="J503" s="27"/>
    </row>
    <row r="504" spans="9:10" ht="15.75" customHeight="1">
      <c r="I504" s="26"/>
      <c r="J504" s="27"/>
    </row>
    <row r="505" spans="9:10" ht="15.75" customHeight="1">
      <c r="I505" s="26"/>
      <c r="J505" s="27"/>
    </row>
    <row r="506" spans="9:10" ht="15.75" customHeight="1">
      <c r="I506" s="26"/>
      <c r="J506" s="27"/>
    </row>
    <row r="507" spans="9:10" ht="15.75" customHeight="1">
      <c r="I507" s="26"/>
      <c r="J507" s="27"/>
    </row>
    <row r="508" spans="9:10" ht="15.75" customHeight="1">
      <c r="I508" s="26"/>
      <c r="J508" s="27"/>
    </row>
    <row r="509" spans="9:10" ht="15.75" customHeight="1">
      <c r="I509" s="26"/>
      <c r="J509" s="27"/>
    </row>
    <row r="510" spans="9:10" ht="15.75" customHeight="1">
      <c r="I510" s="26"/>
      <c r="J510" s="27"/>
    </row>
    <row r="511" spans="9:10" ht="15.75" customHeight="1">
      <c r="I511" s="26"/>
      <c r="J511" s="27"/>
    </row>
    <row r="512" spans="9:10" ht="15.75" customHeight="1">
      <c r="I512" s="26"/>
      <c r="J512" s="27"/>
    </row>
    <row r="513" spans="9:10" ht="15.75" customHeight="1">
      <c r="I513" s="26"/>
      <c r="J513" s="27"/>
    </row>
    <row r="514" spans="9:10" ht="15.75" customHeight="1">
      <c r="I514" s="26"/>
      <c r="J514" s="27"/>
    </row>
    <row r="515" spans="9:10" ht="15.75" customHeight="1">
      <c r="I515" s="26"/>
      <c r="J515" s="27"/>
    </row>
    <row r="516" spans="9:10" ht="15.75" customHeight="1">
      <c r="I516" s="26"/>
      <c r="J516" s="27"/>
    </row>
    <row r="517" spans="9:10" ht="15.75" customHeight="1">
      <c r="I517" s="26"/>
      <c r="J517" s="27"/>
    </row>
    <row r="518" spans="9:10" ht="15.75" customHeight="1">
      <c r="I518" s="26"/>
      <c r="J518" s="27"/>
    </row>
    <row r="519" spans="9:10" ht="15.75" customHeight="1">
      <c r="I519" s="26"/>
      <c r="J519" s="27"/>
    </row>
    <row r="520" spans="9:10" ht="15.75" customHeight="1">
      <c r="I520" s="26"/>
      <c r="J520" s="27"/>
    </row>
    <row r="521" spans="9:10" ht="15.75" customHeight="1">
      <c r="I521" s="26"/>
      <c r="J521" s="27"/>
    </row>
    <row r="522" spans="9:10" ht="15.75" customHeight="1">
      <c r="I522" s="26"/>
      <c r="J522" s="27"/>
    </row>
    <row r="523" spans="9:10" ht="15.75" customHeight="1">
      <c r="I523" s="26"/>
      <c r="J523" s="27"/>
    </row>
    <row r="524" spans="9:10" ht="15.75" customHeight="1">
      <c r="I524" s="26"/>
      <c r="J524" s="27"/>
    </row>
    <row r="525" spans="9:10" ht="15.75" customHeight="1">
      <c r="I525" s="26"/>
      <c r="J525" s="27"/>
    </row>
    <row r="526" spans="9:10" ht="15.75" customHeight="1">
      <c r="I526" s="26"/>
      <c r="J526" s="27"/>
    </row>
    <row r="527" spans="9:10" ht="15.75" customHeight="1">
      <c r="I527" s="26"/>
      <c r="J527" s="27"/>
    </row>
    <row r="528" spans="9:10" ht="15.75" customHeight="1">
      <c r="I528" s="26"/>
      <c r="J528" s="27"/>
    </row>
    <row r="529" spans="9:10" ht="15.75" customHeight="1">
      <c r="I529" s="26"/>
      <c r="J529" s="27"/>
    </row>
    <row r="530" spans="9:10" ht="15.75" customHeight="1">
      <c r="I530" s="26"/>
      <c r="J530" s="27"/>
    </row>
    <row r="531" spans="9:10" ht="15.75" customHeight="1">
      <c r="I531" s="26"/>
      <c r="J531" s="27"/>
    </row>
    <row r="532" spans="9:10" ht="15.75" customHeight="1">
      <c r="I532" s="26"/>
      <c r="J532" s="27"/>
    </row>
    <row r="533" spans="9:10" ht="15.75" customHeight="1">
      <c r="I533" s="26"/>
      <c r="J533" s="27"/>
    </row>
    <row r="534" spans="9:10" ht="15.75" customHeight="1">
      <c r="I534" s="26"/>
      <c r="J534" s="27"/>
    </row>
    <row r="535" spans="9:10" ht="15.75" customHeight="1">
      <c r="I535" s="26"/>
      <c r="J535" s="27"/>
    </row>
    <row r="536" spans="9:10" ht="15.75" customHeight="1">
      <c r="I536" s="26"/>
      <c r="J536" s="27"/>
    </row>
    <row r="537" spans="9:10" ht="15.75" customHeight="1">
      <c r="I537" s="26"/>
      <c r="J537" s="27"/>
    </row>
    <row r="538" spans="9:10" ht="15.75" customHeight="1">
      <c r="I538" s="26"/>
      <c r="J538" s="27"/>
    </row>
    <row r="539" spans="9:10" ht="15.75" customHeight="1">
      <c r="I539" s="26"/>
      <c r="J539" s="27"/>
    </row>
    <row r="540" spans="9:10" ht="15.75" customHeight="1">
      <c r="I540" s="26"/>
      <c r="J540" s="27"/>
    </row>
    <row r="541" spans="9:10" ht="15.75" customHeight="1">
      <c r="I541" s="26"/>
      <c r="J541" s="27"/>
    </row>
    <row r="542" spans="9:10" ht="15.75" customHeight="1">
      <c r="I542" s="26"/>
      <c r="J542" s="27"/>
    </row>
    <row r="543" spans="9:10" ht="15.75" customHeight="1">
      <c r="I543" s="26"/>
      <c r="J543" s="27"/>
    </row>
    <row r="544" spans="9:10" ht="15.75" customHeight="1">
      <c r="I544" s="26"/>
      <c r="J544" s="27"/>
    </row>
    <row r="545" spans="9:10" ht="15.75" customHeight="1">
      <c r="I545" s="26"/>
      <c r="J545" s="27"/>
    </row>
    <row r="546" spans="9:10" ht="15.75" customHeight="1">
      <c r="I546" s="26"/>
      <c r="J546" s="27"/>
    </row>
    <row r="547" spans="9:10" ht="15.75" customHeight="1">
      <c r="I547" s="26"/>
      <c r="J547" s="27"/>
    </row>
    <row r="548" spans="9:10" ht="15.75" customHeight="1">
      <c r="I548" s="26"/>
      <c r="J548" s="27"/>
    </row>
    <row r="549" spans="9:10" ht="15.75" customHeight="1">
      <c r="I549" s="26"/>
      <c r="J549" s="27"/>
    </row>
    <row r="550" spans="9:10" ht="15.75" customHeight="1">
      <c r="I550" s="26"/>
      <c r="J550" s="27"/>
    </row>
    <row r="551" spans="9:10" ht="15.75" customHeight="1">
      <c r="I551" s="26"/>
      <c r="J551" s="27"/>
    </row>
    <row r="552" spans="9:10" ht="15.75" customHeight="1">
      <c r="I552" s="26"/>
      <c r="J552" s="27"/>
    </row>
    <row r="553" spans="9:10" ht="15.75" customHeight="1">
      <c r="I553" s="26"/>
      <c r="J553" s="27"/>
    </row>
    <row r="554" spans="9:10" ht="15.75" customHeight="1">
      <c r="I554" s="26"/>
      <c r="J554" s="27"/>
    </row>
    <row r="555" spans="9:10" ht="15.75" customHeight="1">
      <c r="I555" s="26"/>
      <c r="J555" s="27"/>
    </row>
    <row r="556" spans="9:10" ht="15.75" customHeight="1">
      <c r="I556" s="26"/>
      <c r="J556" s="27"/>
    </row>
    <row r="557" spans="9:10" ht="15.75" customHeight="1">
      <c r="I557" s="26"/>
      <c r="J557" s="27"/>
    </row>
    <row r="558" spans="9:10" ht="15.75" customHeight="1">
      <c r="I558" s="26"/>
      <c r="J558" s="27"/>
    </row>
    <row r="559" spans="9:10" ht="15.75" customHeight="1">
      <c r="I559" s="26"/>
      <c r="J559" s="27"/>
    </row>
    <row r="560" spans="9:10" ht="15.75" customHeight="1">
      <c r="I560" s="26"/>
      <c r="J560" s="27"/>
    </row>
    <row r="561" spans="9:10" ht="15.75" customHeight="1">
      <c r="I561" s="26"/>
      <c r="J561" s="27"/>
    </row>
    <row r="562" spans="9:10" ht="15.75" customHeight="1">
      <c r="I562" s="26"/>
      <c r="J562" s="27"/>
    </row>
    <row r="563" spans="9:10" ht="15.75" customHeight="1">
      <c r="I563" s="26"/>
      <c r="J563" s="27"/>
    </row>
    <row r="564" spans="9:10" ht="15.75" customHeight="1">
      <c r="I564" s="26"/>
      <c r="J564" s="27"/>
    </row>
    <row r="565" spans="9:10" ht="15.75" customHeight="1">
      <c r="I565" s="26"/>
      <c r="J565" s="27"/>
    </row>
    <row r="566" spans="9:10" ht="15.75" customHeight="1">
      <c r="I566" s="26"/>
      <c r="J566" s="27"/>
    </row>
    <row r="567" spans="9:10" ht="15.75" customHeight="1">
      <c r="I567" s="26"/>
      <c r="J567" s="27"/>
    </row>
    <row r="568" spans="9:10" ht="15.75" customHeight="1">
      <c r="I568" s="26"/>
      <c r="J568" s="27"/>
    </row>
    <row r="569" spans="9:10" ht="15.75" customHeight="1">
      <c r="I569" s="26"/>
      <c r="J569" s="27"/>
    </row>
    <row r="570" spans="9:10" ht="15.75" customHeight="1">
      <c r="I570" s="26"/>
      <c r="J570" s="27"/>
    </row>
    <row r="571" spans="9:10" ht="15.75" customHeight="1">
      <c r="I571" s="26"/>
      <c r="J571" s="27"/>
    </row>
    <row r="572" spans="9:10" ht="15.75" customHeight="1">
      <c r="I572" s="26"/>
      <c r="J572" s="27"/>
    </row>
    <row r="573" spans="9:10" ht="15.75" customHeight="1">
      <c r="I573" s="26"/>
      <c r="J573" s="27"/>
    </row>
    <row r="574" spans="9:10" ht="15.75" customHeight="1">
      <c r="I574" s="26"/>
      <c r="J574" s="27"/>
    </row>
    <row r="575" spans="9:10" ht="15.75" customHeight="1">
      <c r="I575" s="26"/>
      <c r="J575" s="27"/>
    </row>
    <row r="576" spans="9:10" ht="15.75" customHeight="1">
      <c r="I576" s="26"/>
      <c r="J576" s="27"/>
    </row>
    <row r="577" spans="9:10" ht="15.75" customHeight="1">
      <c r="I577" s="26"/>
      <c r="J577" s="27"/>
    </row>
    <row r="578" spans="9:10" ht="15.75" customHeight="1">
      <c r="I578" s="26"/>
      <c r="J578" s="27"/>
    </row>
    <row r="579" spans="9:10" ht="15.75" customHeight="1">
      <c r="I579" s="26"/>
      <c r="J579" s="27"/>
    </row>
    <row r="580" spans="9:10" ht="15.75" customHeight="1">
      <c r="I580" s="26"/>
      <c r="J580" s="27"/>
    </row>
    <row r="581" spans="9:10" ht="15.75" customHeight="1">
      <c r="I581" s="26"/>
      <c r="J581" s="27"/>
    </row>
    <row r="582" spans="9:10" ht="15.75" customHeight="1">
      <c r="I582" s="26"/>
      <c r="J582" s="27"/>
    </row>
    <row r="583" spans="9:10" ht="15.75" customHeight="1">
      <c r="I583" s="26"/>
      <c r="J583" s="27"/>
    </row>
    <row r="584" spans="9:10" ht="15.75" customHeight="1">
      <c r="I584" s="26"/>
      <c r="J584" s="27"/>
    </row>
    <row r="585" spans="9:10" ht="15.75" customHeight="1">
      <c r="I585" s="26"/>
      <c r="J585" s="27"/>
    </row>
    <row r="586" spans="9:10" ht="15.75" customHeight="1">
      <c r="I586" s="26"/>
      <c r="J586" s="27"/>
    </row>
    <row r="587" spans="9:10" ht="15.75" customHeight="1">
      <c r="I587" s="26"/>
      <c r="J587" s="27"/>
    </row>
    <row r="588" spans="9:10" ht="15.75" customHeight="1">
      <c r="I588" s="26"/>
      <c r="J588" s="27"/>
    </row>
    <row r="589" spans="9:10" ht="15.75" customHeight="1">
      <c r="I589" s="26"/>
      <c r="J589" s="27"/>
    </row>
    <row r="590" spans="9:10" ht="15.75" customHeight="1">
      <c r="I590" s="26"/>
      <c r="J590" s="27"/>
    </row>
    <row r="591" spans="9:10" ht="15.75" customHeight="1">
      <c r="I591" s="26"/>
      <c r="J591" s="27"/>
    </row>
    <row r="592" spans="9:10" ht="15.75" customHeight="1">
      <c r="I592" s="26"/>
      <c r="J592" s="27"/>
    </row>
    <row r="593" spans="9:10" ht="15.75" customHeight="1">
      <c r="I593" s="26"/>
      <c r="J593" s="27"/>
    </row>
    <row r="594" spans="9:10" ht="15.75" customHeight="1">
      <c r="I594" s="26"/>
      <c r="J594" s="27"/>
    </row>
    <row r="595" spans="9:10" ht="15.75" customHeight="1">
      <c r="I595" s="26"/>
      <c r="J595" s="27"/>
    </row>
    <row r="596" spans="9:10" ht="15.75" customHeight="1">
      <c r="I596" s="26"/>
      <c r="J596" s="27"/>
    </row>
    <row r="597" spans="9:10" ht="15.75" customHeight="1">
      <c r="I597" s="26"/>
      <c r="J597" s="27"/>
    </row>
    <row r="598" spans="9:10" ht="15.75" customHeight="1">
      <c r="I598" s="26"/>
      <c r="J598" s="27"/>
    </row>
    <row r="599" spans="9:10" ht="15.75" customHeight="1">
      <c r="I599" s="26"/>
      <c r="J599" s="27"/>
    </row>
    <row r="600" spans="9:10" ht="15.75" customHeight="1">
      <c r="I600" s="26"/>
      <c r="J600" s="27"/>
    </row>
    <row r="601" spans="9:10" ht="15.75" customHeight="1">
      <c r="I601" s="26"/>
      <c r="J601" s="27"/>
    </row>
    <row r="602" spans="9:10" ht="15.75" customHeight="1">
      <c r="I602" s="26"/>
      <c r="J602" s="27"/>
    </row>
    <row r="603" spans="9:10" ht="15.75" customHeight="1">
      <c r="I603" s="26"/>
      <c r="J603" s="27"/>
    </row>
    <row r="604" spans="9:10" ht="15.75" customHeight="1">
      <c r="I604" s="26"/>
      <c r="J604" s="27"/>
    </row>
    <row r="605" spans="9:10" ht="15.75" customHeight="1">
      <c r="I605" s="26"/>
      <c r="J605" s="27"/>
    </row>
    <row r="606" spans="9:10" ht="15.75" customHeight="1">
      <c r="I606" s="26"/>
      <c r="J606" s="27"/>
    </row>
    <row r="607" spans="9:10" ht="15.75" customHeight="1">
      <c r="I607" s="26"/>
      <c r="J607" s="27"/>
    </row>
    <row r="608" spans="9:10" ht="15.75" customHeight="1">
      <c r="I608" s="26"/>
      <c r="J608" s="27"/>
    </row>
    <row r="609" spans="9:10" ht="15.75" customHeight="1">
      <c r="I609" s="26"/>
      <c r="J609" s="27"/>
    </row>
    <row r="610" spans="9:10" ht="15.75" customHeight="1">
      <c r="I610" s="26"/>
      <c r="J610" s="27"/>
    </row>
    <row r="611" spans="9:10" ht="15.75" customHeight="1">
      <c r="I611" s="26"/>
      <c r="J611" s="27"/>
    </row>
    <row r="612" spans="9:10" ht="15.75" customHeight="1">
      <c r="I612" s="26"/>
      <c r="J612" s="27"/>
    </row>
    <row r="613" spans="9:10" ht="15.75" customHeight="1">
      <c r="I613" s="26"/>
      <c r="J613" s="27"/>
    </row>
    <row r="614" spans="9:10" ht="15.75" customHeight="1">
      <c r="I614" s="26"/>
      <c r="J614" s="27"/>
    </row>
    <row r="615" spans="9:10" ht="15.75" customHeight="1">
      <c r="I615" s="26"/>
      <c r="J615" s="27"/>
    </row>
    <row r="616" spans="9:10" ht="15.75" customHeight="1">
      <c r="I616" s="26"/>
      <c r="J616" s="27"/>
    </row>
    <row r="617" spans="9:10" ht="15.75" customHeight="1">
      <c r="I617" s="26"/>
      <c r="J617" s="27"/>
    </row>
    <row r="618" spans="9:10" ht="15.75" customHeight="1">
      <c r="I618" s="26"/>
      <c r="J618" s="27"/>
    </row>
    <row r="619" spans="9:10" ht="15.75" customHeight="1">
      <c r="I619" s="26"/>
      <c r="J619" s="27"/>
    </row>
    <row r="620" spans="9:10" ht="15.75" customHeight="1">
      <c r="I620" s="26"/>
      <c r="J620" s="27"/>
    </row>
    <row r="621" spans="9:10" ht="15.75" customHeight="1">
      <c r="I621" s="26"/>
      <c r="J621" s="27"/>
    </row>
    <row r="622" spans="9:10" ht="15.75" customHeight="1">
      <c r="I622" s="26"/>
      <c r="J622" s="27"/>
    </row>
    <row r="623" spans="9:10" ht="15.75" customHeight="1">
      <c r="I623" s="26"/>
      <c r="J623" s="27"/>
    </row>
    <row r="624" spans="9:10" ht="15.75" customHeight="1">
      <c r="I624" s="26"/>
      <c r="J624" s="27"/>
    </row>
    <row r="625" spans="9:10" ht="15.75" customHeight="1">
      <c r="I625" s="26"/>
      <c r="J625" s="27"/>
    </row>
    <row r="626" spans="9:10" ht="15.75" customHeight="1">
      <c r="I626" s="26"/>
      <c r="J626" s="27"/>
    </row>
    <row r="627" spans="9:10" ht="15.75" customHeight="1">
      <c r="I627" s="26"/>
      <c r="J627" s="27"/>
    </row>
    <row r="628" spans="9:10" ht="15.75" customHeight="1">
      <c r="I628" s="26"/>
      <c r="J628" s="27"/>
    </row>
    <row r="629" spans="9:10" ht="15.75" customHeight="1">
      <c r="I629" s="26"/>
      <c r="J629" s="27"/>
    </row>
    <row r="630" spans="9:10" ht="15.75" customHeight="1">
      <c r="I630" s="26"/>
      <c r="J630" s="27"/>
    </row>
    <row r="631" spans="9:10" ht="15.75" customHeight="1">
      <c r="I631" s="26"/>
      <c r="J631" s="27"/>
    </row>
    <row r="632" spans="9:10" ht="15.75" customHeight="1">
      <c r="I632" s="26"/>
      <c r="J632" s="27"/>
    </row>
    <row r="633" spans="9:10" ht="15.75" customHeight="1">
      <c r="I633" s="26"/>
      <c r="J633" s="27"/>
    </row>
    <row r="634" spans="9:10" ht="15.75" customHeight="1">
      <c r="I634" s="26"/>
      <c r="J634" s="27"/>
    </row>
    <row r="635" spans="9:10" ht="15.75" customHeight="1">
      <c r="I635" s="26"/>
      <c r="J635" s="27"/>
    </row>
    <row r="636" spans="9:10" ht="15.75" customHeight="1">
      <c r="I636" s="26"/>
      <c r="J636" s="27"/>
    </row>
    <row r="637" spans="9:10" ht="15.75" customHeight="1">
      <c r="I637" s="26"/>
      <c r="J637" s="27"/>
    </row>
    <row r="638" spans="9:10" ht="15.75" customHeight="1">
      <c r="I638" s="26"/>
      <c r="J638" s="27"/>
    </row>
    <row r="639" spans="9:10" ht="15.75" customHeight="1">
      <c r="I639" s="26"/>
      <c r="J639" s="27"/>
    </row>
    <row r="640" spans="9:10" ht="15.75" customHeight="1">
      <c r="I640" s="26"/>
      <c r="J640" s="27"/>
    </row>
    <row r="641" spans="9:10" ht="15.75" customHeight="1">
      <c r="I641" s="26"/>
      <c r="J641" s="27"/>
    </row>
    <row r="642" spans="9:10" ht="15.75" customHeight="1">
      <c r="I642" s="26"/>
      <c r="J642" s="27"/>
    </row>
    <row r="643" spans="9:10" ht="15.75" customHeight="1">
      <c r="I643" s="26"/>
      <c r="J643" s="27"/>
    </row>
    <row r="644" spans="9:10" ht="15.75" customHeight="1">
      <c r="I644" s="26"/>
      <c r="J644" s="27"/>
    </row>
    <row r="645" spans="9:10" ht="15.75" customHeight="1">
      <c r="I645" s="26"/>
      <c r="J645" s="27"/>
    </row>
    <row r="646" spans="9:10" ht="15.75" customHeight="1">
      <c r="I646" s="26"/>
      <c r="J646" s="27"/>
    </row>
    <row r="647" spans="9:10" ht="15.75" customHeight="1">
      <c r="I647" s="26"/>
      <c r="J647" s="27"/>
    </row>
    <row r="648" spans="9:10" ht="15.75" customHeight="1">
      <c r="I648" s="26"/>
      <c r="J648" s="27"/>
    </row>
    <row r="649" spans="9:10" ht="15.75" customHeight="1">
      <c r="I649" s="26"/>
      <c r="J649" s="27"/>
    </row>
    <row r="650" spans="9:10" ht="15.75" customHeight="1">
      <c r="I650" s="26"/>
      <c r="J650" s="27"/>
    </row>
    <row r="651" spans="9:10" ht="15.75" customHeight="1">
      <c r="I651" s="26"/>
      <c r="J651" s="27"/>
    </row>
    <row r="652" spans="9:10" ht="15.75" customHeight="1">
      <c r="I652" s="26"/>
      <c r="J652" s="27"/>
    </row>
    <row r="653" spans="9:10" ht="15.75" customHeight="1">
      <c r="I653" s="26"/>
      <c r="J653" s="27"/>
    </row>
    <row r="654" spans="9:10" ht="15.75" customHeight="1">
      <c r="I654" s="26"/>
      <c r="J654" s="27"/>
    </row>
    <row r="655" spans="9:10" ht="15.75" customHeight="1">
      <c r="I655" s="26"/>
      <c r="J655" s="27"/>
    </row>
    <row r="656" spans="9:10" ht="15.75" customHeight="1">
      <c r="I656" s="26"/>
      <c r="J656" s="27"/>
    </row>
    <row r="657" spans="9:10" ht="15.75" customHeight="1">
      <c r="I657" s="26"/>
      <c r="J657" s="27"/>
    </row>
    <row r="658" spans="9:10" ht="15.75" customHeight="1">
      <c r="I658" s="26"/>
      <c r="J658" s="27"/>
    </row>
    <row r="659" spans="9:10" ht="15.75" customHeight="1">
      <c r="I659" s="26"/>
      <c r="J659" s="27"/>
    </row>
    <row r="660" spans="9:10" ht="15.75" customHeight="1">
      <c r="I660" s="26"/>
      <c r="J660" s="27"/>
    </row>
    <row r="661" spans="9:10" ht="15.75" customHeight="1">
      <c r="I661" s="26"/>
      <c r="J661" s="27"/>
    </row>
    <row r="662" spans="9:10" ht="15.75" customHeight="1">
      <c r="I662" s="26"/>
      <c r="J662" s="27"/>
    </row>
    <row r="663" spans="9:10" ht="15.75" customHeight="1">
      <c r="I663" s="26"/>
      <c r="J663" s="27"/>
    </row>
    <row r="664" spans="9:10" ht="15.75" customHeight="1">
      <c r="I664" s="26"/>
      <c r="J664" s="27"/>
    </row>
    <row r="665" spans="9:10" ht="15.75" customHeight="1">
      <c r="I665" s="26"/>
      <c r="J665" s="27"/>
    </row>
    <row r="666" spans="9:10" ht="15.75" customHeight="1">
      <c r="I666" s="26"/>
      <c r="J666" s="27"/>
    </row>
    <row r="667" spans="9:10" ht="15.75" customHeight="1">
      <c r="I667" s="26"/>
      <c r="J667" s="27"/>
    </row>
    <row r="668" spans="9:10" ht="15.75" customHeight="1">
      <c r="I668" s="26"/>
      <c r="J668" s="27"/>
    </row>
    <row r="669" spans="9:10" ht="15.75" customHeight="1">
      <c r="I669" s="26"/>
      <c r="J669" s="27"/>
    </row>
    <row r="670" spans="9:10" ht="15.75" customHeight="1">
      <c r="I670" s="26"/>
      <c r="J670" s="27"/>
    </row>
    <row r="671" spans="9:10" ht="15.75" customHeight="1">
      <c r="I671" s="26"/>
      <c r="J671" s="27"/>
    </row>
    <row r="672" spans="9:10" ht="15.75" customHeight="1">
      <c r="I672" s="26"/>
      <c r="J672" s="27"/>
    </row>
    <row r="673" spans="9:10" ht="15.75" customHeight="1">
      <c r="I673" s="26"/>
      <c r="J673" s="27"/>
    </row>
    <row r="674" spans="9:10" ht="15.75" customHeight="1">
      <c r="I674" s="26"/>
      <c r="J674" s="27"/>
    </row>
    <row r="675" spans="9:10" ht="15.75" customHeight="1">
      <c r="I675" s="26"/>
      <c r="J675" s="27"/>
    </row>
    <row r="676" spans="9:10" ht="15.75" customHeight="1">
      <c r="I676" s="26"/>
      <c r="J676" s="27"/>
    </row>
    <row r="677" spans="9:10" ht="15.75" customHeight="1">
      <c r="I677" s="26"/>
      <c r="J677" s="27"/>
    </row>
    <row r="678" spans="9:10" ht="15.75" customHeight="1">
      <c r="I678" s="26"/>
      <c r="J678" s="27"/>
    </row>
    <row r="679" spans="9:10" ht="15.75" customHeight="1">
      <c r="I679" s="26"/>
      <c r="J679" s="27"/>
    </row>
    <row r="680" spans="9:10" ht="15.75" customHeight="1">
      <c r="I680" s="26"/>
      <c r="J680" s="27"/>
    </row>
    <row r="681" spans="9:10" ht="15.75" customHeight="1">
      <c r="I681" s="26"/>
      <c r="J681" s="27"/>
    </row>
    <row r="682" spans="9:10" ht="15.75" customHeight="1">
      <c r="I682" s="26"/>
      <c r="J682" s="27"/>
    </row>
    <row r="683" spans="9:10" ht="15.75" customHeight="1">
      <c r="I683" s="26"/>
      <c r="J683" s="27"/>
    </row>
    <row r="684" spans="9:10" ht="15.75" customHeight="1">
      <c r="I684" s="26"/>
      <c r="J684" s="27"/>
    </row>
    <row r="685" spans="9:10" ht="15.75" customHeight="1">
      <c r="I685" s="26"/>
      <c r="J685" s="27"/>
    </row>
    <row r="686" spans="9:10" ht="15.75" customHeight="1">
      <c r="I686" s="26"/>
      <c r="J686" s="27"/>
    </row>
    <row r="687" spans="9:10" ht="15.75" customHeight="1">
      <c r="I687" s="26"/>
      <c r="J687" s="27"/>
    </row>
    <row r="688" spans="9:10" ht="15.75" customHeight="1">
      <c r="I688" s="26"/>
      <c r="J688" s="27"/>
    </row>
    <row r="689" spans="9:10" ht="15.75" customHeight="1">
      <c r="I689" s="26"/>
      <c r="J689" s="27"/>
    </row>
    <row r="690" spans="9:10" ht="15.75" customHeight="1">
      <c r="I690" s="26"/>
      <c r="J690" s="27"/>
    </row>
    <row r="691" spans="9:10" ht="15.75" customHeight="1">
      <c r="I691" s="26"/>
      <c r="J691" s="27"/>
    </row>
    <row r="692" spans="9:10" ht="15.75" customHeight="1">
      <c r="I692" s="26"/>
      <c r="J692" s="27"/>
    </row>
    <row r="693" spans="9:10" ht="15.75" customHeight="1">
      <c r="I693" s="26"/>
      <c r="J693" s="27"/>
    </row>
    <row r="694" spans="9:10" ht="15.75" customHeight="1">
      <c r="I694" s="26"/>
      <c r="J694" s="27"/>
    </row>
    <row r="695" spans="9:10" ht="15.75" customHeight="1">
      <c r="I695" s="26"/>
      <c r="J695" s="27"/>
    </row>
    <row r="696" spans="9:10" ht="15.75" customHeight="1">
      <c r="I696" s="26"/>
      <c r="J696" s="27"/>
    </row>
    <row r="697" spans="9:10" ht="15.75" customHeight="1">
      <c r="I697" s="26"/>
      <c r="J697" s="27"/>
    </row>
    <row r="698" spans="9:10" ht="15.75" customHeight="1">
      <c r="I698" s="26"/>
      <c r="J698" s="27"/>
    </row>
    <row r="699" spans="9:10" ht="15.75" customHeight="1">
      <c r="I699" s="26"/>
      <c r="J699" s="27"/>
    </row>
    <row r="700" spans="9:10" ht="15.75" customHeight="1">
      <c r="I700" s="26"/>
      <c r="J700" s="27"/>
    </row>
    <row r="701" spans="9:10" ht="15.75" customHeight="1">
      <c r="I701" s="26"/>
      <c r="J701" s="27"/>
    </row>
    <row r="702" spans="9:10" ht="15.75" customHeight="1">
      <c r="I702" s="26"/>
      <c r="J702" s="27"/>
    </row>
    <row r="703" spans="9:10" ht="15.75" customHeight="1">
      <c r="I703" s="26"/>
      <c r="J703" s="27"/>
    </row>
    <row r="704" spans="9:10" ht="15.75" customHeight="1">
      <c r="I704" s="26"/>
      <c r="J704" s="27"/>
    </row>
    <row r="705" spans="9:10" ht="15.75" customHeight="1">
      <c r="I705" s="26"/>
      <c r="J705" s="27"/>
    </row>
    <row r="706" spans="9:10" ht="15.75" customHeight="1">
      <c r="I706" s="26"/>
      <c r="J706" s="27"/>
    </row>
    <row r="707" spans="9:10" ht="15.75" customHeight="1">
      <c r="I707" s="26"/>
      <c r="J707" s="27"/>
    </row>
    <row r="708" spans="9:10" ht="15.75" customHeight="1">
      <c r="I708" s="26"/>
      <c r="J708" s="27"/>
    </row>
    <row r="709" spans="9:10" ht="15.75" customHeight="1">
      <c r="I709" s="26"/>
      <c r="J709" s="27"/>
    </row>
    <row r="710" spans="9:10" ht="15.75" customHeight="1">
      <c r="I710" s="26"/>
      <c r="J710" s="27"/>
    </row>
    <row r="711" spans="9:10" ht="15.75" customHeight="1">
      <c r="I711" s="26"/>
      <c r="J711" s="27"/>
    </row>
    <row r="712" spans="9:10" ht="15.75" customHeight="1">
      <c r="I712" s="26"/>
      <c r="J712" s="27"/>
    </row>
    <row r="713" spans="9:10" ht="15.75" customHeight="1">
      <c r="I713" s="26"/>
      <c r="J713" s="27"/>
    </row>
    <row r="714" spans="9:10" ht="15.75" customHeight="1">
      <c r="I714" s="26"/>
      <c r="J714" s="27"/>
    </row>
    <row r="715" spans="9:10" ht="15.75" customHeight="1">
      <c r="I715" s="26"/>
      <c r="J715" s="27"/>
    </row>
    <row r="716" spans="9:10" ht="15.75" customHeight="1">
      <c r="I716" s="26"/>
      <c r="J716" s="27"/>
    </row>
    <row r="717" spans="9:10" ht="15.75" customHeight="1">
      <c r="I717" s="26"/>
      <c r="J717" s="27"/>
    </row>
    <row r="718" spans="9:10" ht="15.75" customHeight="1">
      <c r="I718" s="26"/>
      <c r="J718" s="27"/>
    </row>
    <row r="719" spans="9:10" ht="15.75" customHeight="1">
      <c r="I719" s="26"/>
      <c r="J719" s="27"/>
    </row>
    <row r="720" spans="9:10" ht="15.75" customHeight="1">
      <c r="I720" s="26"/>
      <c r="J720" s="27"/>
    </row>
    <row r="721" spans="9:10" ht="15.75" customHeight="1">
      <c r="I721" s="26"/>
      <c r="J721" s="27"/>
    </row>
    <row r="722" spans="9:10" ht="15.75" customHeight="1">
      <c r="I722" s="26"/>
      <c r="J722" s="27"/>
    </row>
    <row r="723" spans="9:10" ht="15.75" customHeight="1">
      <c r="I723" s="26"/>
      <c r="J723" s="27"/>
    </row>
    <row r="724" spans="9:10" ht="15.75" customHeight="1">
      <c r="I724" s="26"/>
      <c r="J724" s="27"/>
    </row>
    <row r="725" spans="9:10" ht="15.75" customHeight="1">
      <c r="I725" s="26"/>
      <c r="J725" s="27"/>
    </row>
    <row r="726" spans="9:10" ht="15.75" customHeight="1">
      <c r="I726" s="26"/>
      <c r="J726" s="27"/>
    </row>
    <row r="727" spans="9:10" ht="15.75" customHeight="1">
      <c r="I727" s="26"/>
      <c r="J727" s="27"/>
    </row>
    <row r="728" spans="9:10" ht="15.75" customHeight="1">
      <c r="I728" s="26"/>
      <c r="J728" s="27"/>
    </row>
    <row r="729" spans="9:10" ht="15.75" customHeight="1">
      <c r="I729" s="26"/>
      <c r="J729" s="27"/>
    </row>
    <row r="730" spans="9:10" ht="15.75" customHeight="1">
      <c r="I730" s="26"/>
      <c r="J730" s="27"/>
    </row>
    <row r="731" spans="9:10" ht="15.75" customHeight="1">
      <c r="I731" s="26"/>
      <c r="J731" s="27"/>
    </row>
    <row r="732" spans="9:10" ht="15.75" customHeight="1">
      <c r="I732" s="26"/>
      <c r="J732" s="27"/>
    </row>
    <row r="733" spans="9:10" ht="15.75" customHeight="1">
      <c r="I733" s="26"/>
      <c r="J733" s="27"/>
    </row>
    <row r="734" spans="9:10" ht="15.75" customHeight="1">
      <c r="I734" s="26"/>
      <c r="J734" s="27"/>
    </row>
    <row r="735" spans="9:10" ht="15.75" customHeight="1">
      <c r="I735" s="26"/>
      <c r="J735" s="27"/>
    </row>
    <row r="736" spans="9:10" ht="15.75" customHeight="1">
      <c r="I736" s="26"/>
      <c r="J736" s="27"/>
    </row>
    <row r="737" spans="9:10" ht="15.75" customHeight="1">
      <c r="I737" s="26"/>
      <c r="J737" s="27"/>
    </row>
    <row r="738" spans="9:10" ht="15.75" customHeight="1">
      <c r="I738" s="26"/>
      <c r="J738" s="27"/>
    </row>
    <row r="739" spans="9:10" ht="15.75" customHeight="1">
      <c r="I739" s="26"/>
      <c r="J739" s="27"/>
    </row>
    <row r="740" spans="9:10" ht="15.75" customHeight="1">
      <c r="I740" s="26"/>
      <c r="J740" s="27"/>
    </row>
    <row r="741" spans="9:10" ht="15.75" customHeight="1">
      <c r="I741" s="26"/>
      <c r="J741" s="27"/>
    </row>
    <row r="742" spans="9:10" ht="15.75" customHeight="1">
      <c r="I742" s="26"/>
      <c r="J742" s="27"/>
    </row>
    <row r="743" spans="9:10" ht="15.75" customHeight="1">
      <c r="I743" s="26"/>
      <c r="J743" s="27"/>
    </row>
    <row r="744" spans="9:10" ht="15.75" customHeight="1">
      <c r="I744" s="26"/>
      <c r="J744" s="27"/>
    </row>
    <row r="745" spans="9:10" ht="15.75" customHeight="1">
      <c r="I745" s="26"/>
      <c r="J745" s="27"/>
    </row>
    <row r="746" spans="9:10" ht="15.75" customHeight="1">
      <c r="I746" s="26"/>
      <c r="J746" s="27"/>
    </row>
    <row r="747" spans="9:10" ht="15.75" customHeight="1">
      <c r="I747" s="26"/>
      <c r="J747" s="27"/>
    </row>
    <row r="748" spans="9:10" ht="15.75" customHeight="1">
      <c r="I748" s="26"/>
      <c r="J748" s="27"/>
    </row>
    <row r="749" spans="9:10" ht="15.75" customHeight="1">
      <c r="I749" s="26"/>
      <c r="J749" s="27"/>
    </row>
    <row r="750" spans="9:10" ht="15.75" customHeight="1">
      <c r="I750" s="26"/>
      <c r="J750" s="27"/>
    </row>
    <row r="751" spans="9:10" ht="15.75" customHeight="1">
      <c r="I751" s="26"/>
      <c r="J751" s="27"/>
    </row>
    <row r="752" spans="9:10" ht="15.75" customHeight="1">
      <c r="I752" s="26"/>
      <c r="J752" s="27"/>
    </row>
    <row r="753" spans="9:10" ht="15.75" customHeight="1">
      <c r="I753" s="26"/>
      <c r="J753" s="27"/>
    </row>
    <row r="754" spans="9:10" ht="15.75" customHeight="1">
      <c r="I754" s="26"/>
      <c r="J754" s="27"/>
    </row>
    <row r="755" spans="9:10" ht="15.75" customHeight="1">
      <c r="I755" s="26"/>
      <c r="J755" s="27"/>
    </row>
    <row r="756" spans="9:10" ht="15.75" customHeight="1">
      <c r="I756" s="26"/>
      <c r="J756" s="27"/>
    </row>
    <row r="757" spans="9:10" ht="15.75" customHeight="1">
      <c r="I757" s="26"/>
      <c r="J757" s="27"/>
    </row>
    <row r="758" spans="9:10" ht="15.75" customHeight="1">
      <c r="I758" s="26"/>
      <c r="J758" s="27"/>
    </row>
    <row r="759" spans="9:10" ht="15.75" customHeight="1">
      <c r="I759" s="26"/>
      <c r="J759" s="27"/>
    </row>
    <row r="760" spans="9:10" ht="15.75" customHeight="1">
      <c r="I760" s="26"/>
      <c r="J760" s="27"/>
    </row>
    <row r="761" spans="9:10" ht="15.75" customHeight="1">
      <c r="I761" s="26"/>
      <c r="J761" s="27"/>
    </row>
    <row r="762" spans="9:10" ht="15.75" customHeight="1">
      <c r="I762" s="26"/>
      <c r="J762" s="27"/>
    </row>
    <row r="763" spans="9:10" ht="15.75" customHeight="1">
      <c r="I763" s="26"/>
      <c r="J763" s="27"/>
    </row>
    <row r="764" spans="9:10" ht="15.75" customHeight="1">
      <c r="I764" s="26"/>
      <c r="J764" s="27"/>
    </row>
    <row r="765" spans="9:10" ht="15.75" customHeight="1">
      <c r="I765" s="26"/>
      <c r="J765" s="27"/>
    </row>
    <row r="766" spans="9:10" ht="15.75" customHeight="1">
      <c r="I766" s="26"/>
      <c r="J766" s="27"/>
    </row>
    <row r="767" spans="9:10" ht="15.75" customHeight="1">
      <c r="I767" s="26"/>
      <c r="J767" s="27"/>
    </row>
    <row r="768" spans="9:10" ht="15.75" customHeight="1">
      <c r="I768" s="26"/>
      <c r="J768" s="27"/>
    </row>
    <row r="769" spans="9:10" ht="15.75" customHeight="1">
      <c r="I769" s="26"/>
      <c r="J769" s="27"/>
    </row>
    <row r="770" spans="9:10" ht="15.75" customHeight="1">
      <c r="I770" s="26"/>
      <c r="J770" s="27"/>
    </row>
    <row r="771" spans="9:10" ht="15.75" customHeight="1">
      <c r="I771" s="26"/>
      <c r="J771" s="27"/>
    </row>
    <row r="772" spans="9:10" ht="15.75" customHeight="1">
      <c r="I772" s="26"/>
      <c r="J772" s="27"/>
    </row>
    <row r="773" spans="9:10" ht="15.75" customHeight="1">
      <c r="I773" s="26"/>
      <c r="J773" s="27"/>
    </row>
    <row r="774" spans="9:10" ht="15.75" customHeight="1">
      <c r="I774" s="26"/>
      <c r="J774" s="27"/>
    </row>
    <row r="775" spans="9:10" ht="15.75" customHeight="1">
      <c r="I775" s="26"/>
      <c r="J775" s="27"/>
    </row>
    <row r="776" spans="9:10" ht="15.75" customHeight="1">
      <c r="I776" s="26"/>
      <c r="J776" s="27"/>
    </row>
    <row r="777" spans="9:10" ht="15.75" customHeight="1">
      <c r="I777" s="26"/>
      <c r="J777" s="27"/>
    </row>
    <row r="778" spans="9:10" ht="15.75" customHeight="1">
      <c r="I778" s="26"/>
      <c r="J778" s="27"/>
    </row>
    <row r="779" spans="9:10" ht="15.75" customHeight="1">
      <c r="I779" s="26"/>
      <c r="J779" s="27"/>
    </row>
    <row r="780" spans="9:10" ht="15.75" customHeight="1">
      <c r="I780" s="26"/>
      <c r="J780" s="27"/>
    </row>
    <row r="781" spans="9:10" ht="15.75" customHeight="1">
      <c r="I781" s="26"/>
      <c r="J781" s="27"/>
    </row>
    <row r="782" spans="9:10" ht="15.75" customHeight="1">
      <c r="I782" s="26"/>
      <c r="J782" s="27"/>
    </row>
    <row r="783" spans="9:10" ht="15.75" customHeight="1">
      <c r="I783" s="26"/>
      <c r="J783" s="27"/>
    </row>
    <row r="784" spans="9:10" ht="15.75" customHeight="1">
      <c r="I784" s="26"/>
      <c r="J784" s="27"/>
    </row>
    <row r="785" spans="9:10" ht="15.75" customHeight="1">
      <c r="I785" s="26"/>
      <c r="J785" s="27"/>
    </row>
    <row r="786" spans="9:10" ht="15.75" customHeight="1">
      <c r="I786" s="26"/>
      <c r="J786" s="27"/>
    </row>
    <row r="787" spans="9:10" ht="15.75" customHeight="1">
      <c r="I787" s="26"/>
      <c r="J787" s="27"/>
    </row>
    <row r="788" spans="9:10" ht="15.75" customHeight="1">
      <c r="I788" s="26"/>
      <c r="J788" s="27"/>
    </row>
    <row r="789" spans="9:10" ht="15.75" customHeight="1">
      <c r="I789" s="26"/>
      <c r="J789" s="27"/>
    </row>
    <row r="790" spans="9:10" ht="15.75" customHeight="1">
      <c r="I790" s="26"/>
      <c r="J790" s="27"/>
    </row>
    <row r="791" spans="9:10" ht="15.75" customHeight="1">
      <c r="I791" s="26"/>
      <c r="J791" s="27"/>
    </row>
    <row r="792" spans="9:10" ht="15.75" customHeight="1">
      <c r="I792" s="26"/>
      <c r="J792" s="27"/>
    </row>
    <row r="793" spans="9:10" ht="15.75" customHeight="1">
      <c r="I793" s="26"/>
      <c r="J793" s="27"/>
    </row>
    <row r="794" spans="9:10" ht="15.75" customHeight="1">
      <c r="I794" s="26"/>
      <c r="J794" s="27"/>
    </row>
    <row r="795" spans="9:10" ht="15.75" customHeight="1">
      <c r="I795" s="26"/>
      <c r="J795" s="27"/>
    </row>
    <row r="796" spans="9:10" ht="15.75" customHeight="1">
      <c r="I796" s="26"/>
      <c r="J796" s="27"/>
    </row>
    <row r="797" spans="9:10" ht="15.75" customHeight="1">
      <c r="I797" s="26"/>
      <c r="J797" s="27"/>
    </row>
    <row r="798" spans="9:10" ht="15.75" customHeight="1">
      <c r="I798" s="26"/>
      <c r="J798" s="27"/>
    </row>
    <row r="799" spans="9:10" ht="15.75" customHeight="1">
      <c r="I799" s="26"/>
      <c r="J799" s="27"/>
    </row>
    <row r="800" spans="9:10" ht="15.75" customHeight="1">
      <c r="I800" s="26"/>
      <c r="J800" s="27"/>
    </row>
    <row r="801" spans="9:10" ht="15.75" customHeight="1">
      <c r="I801" s="26"/>
      <c r="J801" s="27"/>
    </row>
    <row r="802" spans="9:10" ht="15.75" customHeight="1">
      <c r="I802" s="26"/>
      <c r="J802" s="27"/>
    </row>
    <row r="803" spans="9:10" ht="15.75" customHeight="1">
      <c r="I803" s="26"/>
      <c r="J803" s="27"/>
    </row>
    <row r="804" spans="9:10" ht="15.75" customHeight="1">
      <c r="I804" s="26"/>
      <c r="J804" s="27"/>
    </row>
    <row r="805" spans="9:10" ht="15.75" customHeight="1">
      <c r="I805" s="26"/>
      <c r="J805" s="27"/>
    </row>
    <row r="806" spans="9:10" ht="15.75" customHeight="1">
      <c r="I806" s="26"/>
      <c r="J806" s="27"/>
    </row>
    <row r="807" spans="9:10" ht="15.75" customHeight="1">
      <c r="I807" s="26"/>
      <c r="J807" s="27"/>
    </row>
    <row r="808" spans="9:10" ht="15.75" customHeight="1">
      <c r="I808" s="26"/>
      <c r="J808" s="27"/>
    </row>
    <row r="809" spans="9:10" ht="15.75" customHeight="1">
      <c r="I809" s="26"/>
      <c r="J809" s="27"/>
    </row>
    <row r="810" spans="9:10" ht="15.75" customHeight="1">
      <c r="I810" s="26"/>
      <c r="J810" s="27"/>
    </row>
    <row r="811" spans="9:10" ht="15.75" customHeight="1">
      <c r="I811" s="26"/>
      <c r="J811" s="27"/>
    </row>
    <row r="812" spans="9:10" ht="15.75" customHeight="1">
      <c r="I812" s="26"/>
      <c r="J812" s="27"/>
    </row>
    <row r="813" spans="9:10" ht="15.75" customHeight="1">
      <c r="I813" s="26"/>
      <c r="J813" s="27"/>
    </row>
    <row r="814" spans="9:10" ht="15.75" customHeight="1">
      <c r="I814" s="26"/>
      <c r="J814" s="27"/>
    </row>
    <row r="815" spans="9:10" ht="15.75" customHeight="1">
      <c r="I815" s="26"/>
      <c r="J815" s="27"/>
    </row>
    <row r="816" spans="9:10" ht="15.75" customHeight="1">
      <c r="I816" s="26"/>
      <c r="J816" s="27"/>
    </row>
    <row r="817" spans="9:10" ht="15.75" customHeight="1">
      <c r="I817" s="26"/>
      <c r="J817" s="27"/>
    </row>
    <row r="818" spans="9:10" ht="15.75" customHeight="1">
      <c r="I818" s="26"/>
      <c r="J818" s="27"/>
    </row>
    <row r="819" spans="9:10" ht="15.75" customHeight="1">
      <c r="I819" s="26"/>
      <c r="J819" s="27"/>
    </row>
    <row r="820" spans="9:10" ht="15.75" customHeight="1">
      <c r="I820" s="26"/>
      <c r="J820" s="27"/>
    </row>
    <row r="821" spans="9:10" ht="15.75" customHeight="1">
      <c r="I821" s="26"/>
      <c r="J821" s="27"/>
    </row>
    <row r="822" spans="9:10" ht="15.75" customHeight="1">
      <c r="I822" s="26"/>
      <c r="J822" s="27"/>
    </row>
    <row r="823" spans="9:10" ht="15.75" customHeight="1">
      <c r="I823" s="26"/>
      <c r="J823" s="27"/>
    </row>
    <row r="824" spans="9:10" ht="15.75" customHeight="1">
      <c r="I824" s="26"/>
      <c r="J824" s="27"/>
    </row>
    <row r="825" spans="9:10" ht="15.75" customHeight="1">
      <c r="I825" s="26"/>
      <c r="J825" s="27"/>
    </row>
    <row r="826" spans="9:10" ht="15.75" customHeight="1">
      <c r="I826" s="26"/>
      <c r="J826" s="27"/>
    </row>
    <row r="827" spans="9:10" ht="15.75" customHeight="1">
      <c r="I827" s="26"/>
      <c r="J827" s="27"/>
    </row>
    <row r="828" spans="9:10" ht="15.75" customHeight="1">
      <c r="I828" s="26"/>
      <c r="J828" s="27"/>
    </row>
    <row r="829" spans="9:10" ht="15.75" customHeight="1">
      <c r="I829" s="26"/>
      <c r="J829" s="27"/>
    </row>
    <row r="830" spans="9:10" ht="15.75" customHeight="1">
      <c r="I830" s="26"/>
      <c r="J830" s="27"/>
    </row>
    <row r="831" spans="9:10" ht="15.75" customHeight="1">
      <c r="I831" s="26"/>
      <c r="J831" s="27"/>
    </row>
    <row r="832" spans="9:10" ht="15.75" customHeight="1">
      <c r="I832" s="26"/>
      <c r="J832" s="27"/>
    </row>
    <row r="833" spans="9:10" ht="15.75" customHeight="1">
      <c r="I833" s="26"/>
      <c r="J833" s="27"/>
    </row>
    <row r="834" spans="9:10" ht="15.75" customHeight="1">
      <c r="I834" s="26"/>
      <c r="J834" s="27"/>
    </row>
    <row r="835" spans="9:10" ht="15.75" customHeight="1">
      <c r="I835" s="26"/>
      <c r="J835" s="27"/>
    </row>
    <row r="836" spans="9:10" ht="15.75" customHeight="1">
      <c r="I836" s="26"/>
      <c r="J836" s="27"/>
    </row>
    <row r="837" spans="9:10" ht="15.75" customHeight="1">
      <c r="I837" s="26"/>
      <c r="J837" s="27"/>
    </row>
    <row r="838" spans="9:10" ht="15.75" customHeight="1">
      <c r="I838" s="26"/>
      <c r="J838" s="27"/>
    </row>
    <row r="839" spans="9:10" ht="15.75" customHeight="1">
      <c r="I839" s="26"/>
      <c r="J839" s="27"/>
    </row>
    <row r="840" spans="9:10" ht="15.75" customHeight="1">
      <c r="I840" s="26"/>
      <c r="J840" s="27"/>
    </row>
    <row r="841" spans="9:10" ht="15.75" customHeight="1">
      <c r="I841" s="26"/>
      <c r="J841" s="27"/>
    </row>
    <row r="842" spans="9:10" ht="15.75" customHeight="1">
      <c r="I842" s="26"/>
      <c r="J842" s="27"/>
    </row>
    <row r="843" spans="9:10" ht="15.75" customHeight="1">
      <c r="I843" s="26"/>
      <c r="J843" s="27"/>
    </row>
    <row r="844" spans="9:10" ht="15.75" customHeight="1">
      <c r="I844" s="26"/>
      <c r="J844" s="27"/>
    </row>
    <row r="845" spans="9:10" ht="15.75" customHeight="1">
      <c r="I845" s="26"/>
      <c r="J845" s="27"/>
    </row>
    <row r="846" spans="9:10" ht="15.75" customHeight="1">
      <c r="I846" s="26"/>
      <c r="J846" s="27"/>
    </row>
    <row r="847" spans="9:10" ht="15.75" customHeight="1">
      <c r="I847" s="26"/>
      <c r="J847" s="27"/>
    </row>
    <row r="848" spans="9:10" ht="15.75" customHeight="1">
      <c r="I848" s="26"/>
      <c r="J848" s="27"/>
    </row>
    <row r="849" spans="9:10" ht="15.75" customHeight="1">
      <c r="I849" s="26"/>
      <c r="J849" s="27"/>
    </row>
    <row r="850" spans="9:10" ht="15.75" customHeight="1">
      <c r="I850" s="26"/>
      <c r="J850" s="27"/>
    </row>
    <row r="851" spans="9:10" ht="15.75" customHeight="1">
      <c r="I851" s="26"/>
      <c r="J851" s="27"/>
    </row>
    <row r="852" spans="9:10" ht="15.75" customHeight="1">
      <c r="I852" s="26"/>
      <c r="J852" s="27"/>
    </row>
    <row r="853" spans="9:10" ht="15.75" customHeight="1">
      <c r="I853" s="26"/>
      <c r="J853" s="27"/>
    </row>
    <row r="854" spans="9:10" ht="15.75" customHeight="1">
      <c r="I854" s="26"/>
      <c r="J854" s="27"/>
    </row>
    <row r="855" spans="9:10" ht="15.75" customHeight="1">
      <c r="I855" s="26"/>
      <c r="J855" s="27"/>
    </row>
    <row r="856" spans="9:10" ht="15.75" customHeight="1">
      <c r="I856" s="26"/>
      <c r="J856" s="27"/>
    </row>
    <row r="857" spans="9:10" ht="15.75" customHeight="1">
      <c r="I857" s="26"/>
      <c r="J857" s="27"/>
    </row>
    <row r="858" spans="9:10" ht="15.75" customHeight="1">
      <c r="I858" s="26"/>
      <c r="J858" s="27"/>
    </row>
    <row r="859" spans="9:10" ht="15.75" customHeight="1">
      <c r="I859" s="26"/>
      <c r="J859" s="27"/>
    </row>
    <row r="860" spans="9:10" ht="15.75" customHeight="1">
      <c r="I860" s="26"/>
      <c r="J860" s="27"/>
    </row>
    <row r="861" spans="9:10" ht="15.75" customHeight="1">
      <c r="I861" s="26"/>
      <c r="J861" s="27"/>
    </row>
    <row r="862" spans="9:10" ht="15.75" customHeight="1">
      <c r="I862" s="26"/>
      <c r="J862" s="27"/>
    </row>
    <row r="863" spans="9:10" ht="15.75" customHeight="1">
      <c r="I863" s="26"/>
      <c r="J863" s="27"/>
    </row>
    <row r="864" spans="9:10" ht="15.75" customHeight="1">
      <c r="I864" s="26"/>
      <c r="J864" s="27"/>
    </row>
    <row r="865" spans="9:10" ht="15.75" customHeight="1">
      <c r="I865" s="26"/>
      <c r="J865" s="27"/>
    </row>
    <row r="866" spans="9:10" ht="15.75" customHeight="1">
      <c r="I866" s="26"/>
      <c r="J866" s="27"/>
    </row>
    <row r="867" spans="9:10" ht="15.75" customHeight="1">
      <c r="I867" s="26"/>
      <c r="J867" s="27"/>
    </row>
    <row r="868" spans="9:10" ht="15.75" customHeight="1">
      <c r="I868" s="26"/>
      <c r="J868" s="27"/>
    </row>
    <row r="869" spans="9:10" ht="15.75" customHeight="1">
      <c r="I869" s="26"/>
      <c r="J869" s="27"/>
    </row>
    <row r="870" spans="9:10" ht="15.75" customHeight="1">
      <c r="I870" s="26"/>
      <c r="J870" s="27"/>
    </row>
    <row r="871" spans="9:10" ht="15.75" customHeight="1">
      <c r="I871" s="26"/>
      <c r="J871" s="27"/>
    </row>
    <row r="872" spans="9:10" ht="15.75" customHeight="1">
      <c r="I872" s="26"/>
      <c r="J872" s="27"/>
    </row>
    <row r="873" spans="9:10" ht="15.75" customHeight="1">
      <c r="I873" s="26"/>
      <c r="J873" s="27"/>
    </row>
    <row r="874" spans="9:10" ht="15.75" customHeight="1">
      <c r="I874" s="26"/>
      <c r="J874" s="27"/>
    </row>
    <row r="875" spans="9:10" ht="15.75" customHeight="1">
      <c r="I875" s="26"/>
      <c r="J875" s="27"/>
    </row>
    <row r="876" spans="9:10" ht="15.75" customHeight="1">
      <c r="I876" s="26"/>
      <c r="J876" s="27"/>
    </row>
    <row r="877" spans="9:10" ht="15.75" customHeight="1">
      <c r="I877" s="26"/>
      <c r="J877" s="27"/>
    </row>
    <row r="878" spans="9:10" ht="15.75" customHeight="1">
      <c r="I878" s="26"/>
      <c r="J878" s="27"/>
    </row>
    <row r="879" spans="9:10" ht="15.75" customHeight="1">
      <c r="I879" s="26"/>
      <c r="J879" s="27"/>
    </row>
    <row r="880" spans="9:10" ht="15.75" customHeight="1">
      <c r="I880" s="26"/>
      <c r="J880" s="27"/>
    </row>
    <row r="881" spans="9:10" ht="15.75" customHeight="1">
      <c r="I881" s="26"/>
      <c r="J881" s="27"/>
    </row>
    <row r="882" spans="9:10" ht="15.75" customHeight="1">
      <c r="I882" s="26"/>
      <c r="J882" s="27"/>
    </row>
    <row r="883" spans="9:10" ht="15.75" customHeight="1">
      <c r="I883" s="26"/>
      <c r="J883" s="27"/>
    </row>
    <row r="884" spans="9:10" ht="15.75" customHeight="1">
      <c r="I884" s="26"/>
      <c r="J884" s="27"/>
    </row>
    <row r="885" spans="9:10" ht="15.75" customHeight="1">
      <c r="I885" s="26"/>
      <c r="J885" s="27"/>
    </row>
    <row r="886" spans="9:10" ht="15.75" customHeight="1">
      <c r="I886" s="26"/>
      <c r="J886" s="27"/>
    </row>
    <row r="887" spans="9:10" ht="15.75" customHeight="1">
      <c r="I887" s="26"/>
      <c r="J887" s="27"/>
    </row>
    <row r="888" spans="9:10" ht="15.75" customHeight="1">
      <c r="I888" s="26"/>
      <c r="J888" s="27"/>
    </row>
    <row r="889" spans="9:10" ht="15.75" customHeight="1">
      <c r="I889" s="26"/>
      <c r="J889" s="27"/>
    </row>
    <row r="890" spans="9:10" ht="15.75" customHeight="1">
      <c r="I890" s="26"/>
      <c r="J890" s="27"/>
    </row>
    <row r="891" spans="9:10" ht="15.75" customHeight="1">
      <c r="I891" s="26"/>
      <c r="J891" s="27"/>
    </row>
    <row r="892" spans="9:10" ht="15.75" customHeight="1">
      <c r="I892" s="26"/>
      <c r="J892" s="27"/>
    </row>
    <row r="893" spans="9:10" ht="15.75" customHeight="1">
      <c r="I893" s="26"/>
      <c r="J893" s="27"/>
    </row>
    <row r="894" spans="9:10" ht="15.75" customHeight="1">
      <c r="I894" s="26"/>
      <c r="J894" s="27"/>
    </row>
    <row r="895" spans="9:10" ht="15.75" customHeight="1">
      <c r="I895" s="26"/>
      <c r="J895" s="27"/>
    </row>
    <row r="896" spans="9:10" ht="15.75" customHeight="1">
      <c r="I896" s="26"/>
      <c r="J896" s="27"/>
    </row>
    <row r="897" spans="9:10" ht="15.75" customHeight="1">
      <c r="I897" s="26"/>
      <c r="J897" s="27"/>
    </row>
    <row r="898" spans="9:10" ht="15.75" customHeight="1">
      <c r="I898" s="26"/>
      <c r="J898" s="27"/>
    </row>
    <row r="899" spans="9:10" ht="15.75" customHeight="1">
      <c r="I899" s="26"/>
      <c r="J899" s="27"/>
    </row>
    <row r="900" spans="9:10" ht="15.75" customHeight="1">
      <c r="I900" s="26"/>
      <c r="J900" s="27"/>
    </row>
    <row r="901" spans="9:10" ht="15.75" customHeight="1">
      <c r="I901" s="26"/>
      <c r="J901" s="27"/>
    </row>
    <row r="902" spans="9:10" ht="15.75" customHeight="1">
      <c r="I902" s="26"/>
      <c r="J902" s="27"/>
    </row>
    <row r="903" spans="9:10" ht="15.75" customHeight="1">
      <c r="I903" s="26"/>
      <c r="J903" s="27"/>
    </row>
    <row r="904" spans="9:10" ht="15.75" customHeight="1">
      <c r="I904" s="26"/>
      <c r="J904" s="27"/>
    </row>
    <row r="905" spans="9:10" ht="15.75" customHeight="1">
      <c r="I905" s="26"/>
      <c r="J905" s="27"/>
    </row>
    <row r="906" spans="9:10" ht="15.75" customHeight="1">
      <c r="I906" s="26"/>
      <c r="J906" s="27"/>
    </row>
    <row r="907" spans="9:10" ht="15.75" customHeight="1">
      <c r="I907" s="26"/>
      <c r="J907" s="27"/>
    </row>
    <row r="908" spans="9:10" ht="15.75" customHeight="1">
      <c r="I908" s="26"/>
      <c r="J908" s="27"/>
    </row>
    <row r="909" spans="9:10" ht="15.75" customHeight="1">
      <c r="I909" s="26"/>
      <c r="J909" s="27"/>
    </row>
    <row r="910" spans="9:10" ht="15.75" customHeight="1">
      <c r="I910" s="26"/>
      <c r="J910" s="27"/>
    </row>
    <row r="911" spans="9:10" ht="15.75" customHeight="1">
      <c r="I911" s="26"/>
      <c r="J911" s="27"/>
    </row>
    <row r="912" spans="9:10" ht="15.75" customHeight="1">
      <c r="I912" s="26"/>
      <c r="J912" s="27"/>
    </row>
    <row r="913" spans="9:10" ht="15.75" customHeight="1">
      <c r="I913" s="26"/>
      <c r="J913" s="27"/>
    </row>
    <row r="914" spans="9:10" ht="15.75" customHeight="1">
      <c r="I914" s="26"/>
      <c r="J914" s="27"/>
    </row>
    <row r="915" spans="9:10" ht="15.75" customHeight="1">
      <c r="I915" s="26"/>
      <c r="J915" s="27"/>
    </row>
    <row r="916" spans="9:10" ht="15.75" customHeight="1">
      <c r="I916" s="26"/>
      <c r="J916" s="27"/>
    </row>
    <row r="917" spans="9:10" ht="15.75" customHeight="1">
      <c r="I917" s="26"/>
      <c r="J917" s="27"/>
    </row>
    <row r="918" spans="9:10" ht="15.75" customHeight="1">
      <c r="I918" s="26"/>
      <c r="J918" s="27"/>
    </row>
    <row r="919" spans="9:10" ht="15.75" customHeight="1">
      <c r="I919" s="26"/>
      <c r="J919" s="27"/>
    </row>
    <row r="920" spans="9:10" ht="15.75" customHeight="1">
      <c r="I920" s="26"/>
      <c r="J920" s="27"/>
    </row>
    <row r="921" spans="9:10" ht="15.75" customHeight="1">
      <c r="I921" s="26"/>
      <c r="J921" s="27"/>
    </row>
    <row r="922" spans="9:10" ht="15.75" customHeight="1">
      <c r="I922" s="26"/>
      <c r="J922" s="27"/>
    </row>
    <row r="923" spans="9:10" ht="15.75" customHeight="1">
      <c r="I923" s="26"/>
      <c r="J923" s="27"/>
    </row>
    <row r="924" spans="9:10" ht="15.75" customHeight="1">
      <c r="I924" s="26"/>
      <c r="J924" s="27"/>
    </row>
    <row r="925" spans="9:10" ht="15.75" customHeight="1">
      <c r="I925" s="26"/>
      <c r="J925" s="27"/>
    </row>
    <row r="926" spans="9:10" ht="15.75" customHeight="1">
      <c r="I926" s="26"/>
      <c r="J926" s="27"/>
    </row>
    <row r="927" spans="9:10" ht="15.75" customHeight="1">
      <c r="I927" s="26"/>
      <c r="J927" s="27"/>
    </row>
    <row r="928" spans="9:10" ht="15.75" customHeight="1">
      <c r="I928" s="26"/>
      <c r="J928" s="27"/>
    </row>
    <row r="929" spans="9:10" ht="15.75" customHeight="1">
      <c r="I929" s="26"/>
      <c r="J929" s="27"/>
    </row>
    <row r="930" spans="9:10" ht="15.75" customHeight="1">
      <c r="I930" s="26"/>
      <c r="J930" s="27"/>
    </row>
    <row r="931" spans="9:10" ht="15.75" customHeight="1">
      <c r="I931" s="26"/>
      <c r="J931" s="27"/>
    </row>
    <row r="932" spans="9:10" ht="15.75" customHeight="1">
      <c r="I932" s="26"/>
      <c r="J932" s="27"/>
    </row>
    <row r="933" spans="9:10" ht="15.75" customHeight="1">
      <c r="I933" s="26"/>
      <c r="J933" s="27"/>
    </row>
    <row r="934" spans="9:10" ht="15.75" customHeight="1">
      <c r="I934" s="26"/>
      <c r="J934" s="27"/>
    </row>
    <row r="935" spans="9:10" ht="15.75" customHeight="1">
      <c r="I935" s="26"/>
      <c r="J935" s="27"/>
    </row>
    <row r="936" spans="9:10" ht="15.75" customHeight="1">
      <c r="I936" s="26"/>
      <c r="J936" s="27"/>
    </row>
    <row r="937" spans="9:10" ht="15.75" customHeight="1">
      <c r="I937" s="26"/>
      <c r="J937" s="27"/>
    </row>
    <row r="938" spans="9:10" ht="15.75" customHeight="1">
      <c r="I938" s="26"/>
      <c r="J938" s="27"/>
    </row>
    <row r="939" spans="9:10" ht="15.75" customHeight="1">
      <c r="I939" s="26"/>
      <c r="J939" s="27"/>
    </row>
    <row r="940" spans="9:10" ht="15.75" customHeight="1">
      <c r="I940" s="26"/>
      <c r="J940" s="27"/>
    </row>
    <row r="941" spans="9:10" ht="15.75" customHeight="1">
      <c r="I941" s="26"/>
      <c r="J941" s="27"/>
    </row>
    <row r="942" spans="9:10" ht="15.75" customHeight="1">
      <c r="I942" s="26"/>
      <c r="J942" s="27"/>
    </row>
    <row r="943" spans="9:10" ht="15.75" customHeight="1">
      <c r="I943" s="26"/>
      <c r="J943" s="27"/>
    </row>
    <row r="944" spans="9:10" ht="15.75" customHeight="1">
      <c r="I944" s="26"/>
      <c r="J944" s="27"/>
    </row>
    <row r="945" spans="9:10" ht="15.75" customHeight="1">
      <c r="I945" s="26"/>
      <c r="J945" s="27"/>
    </row>
    <row r="946" spans="9:10" ht="15.75" customHeight="1">
      <c r="I946" s="26"/>
      <c r="J946" s="27"/>
    </row>
    <row r="947" spans="9:10" ht="15.75" customHeight="1">
      <c r="I947" s="26"/>
      <c r="J947" s="27"/>
    </row>
    <row r="948" spans="9:10" ht="15.75" customHeight="1">
      <c r="I948" s="26"/>
      <c r="J948" s="27"/>
    </row>
    <row r="949" spans="9:10" ht="15.75" customHeight="1">
      <c r="I949" s="26"/>
      <c r="J949" s="27"/>
    </row>
    <row r="950" spans="9:10" ht="15.75" customHeight="1">
      <c r="I950" s="26"/>
      <c r="J950" s="27"/>
    </row>
    <row r="951" spans="9:10" ht="15.75" customHeight="1">
      <c r="I951" s="26"/>
      <c r="J951" s="27"/>
    </row>
    <row r="952" spans="9:10" ht="15.75" customHeight="1">
      <c r="I952" s="26"/>
      <c r="J952" s="27"/>
    </row>
    <row r="953" spans="9:10" ht="15.75" customHeight="1">
      <c r="I953" s="26"/>
      <c r="J953" s="27"/>
    </row>
    <row r="954" spans="9:10" ht="15.75" customHeight="1">
      <c r="I954" s="26"/>
      <c r="J954" s="27"/>
    </row>
    <row r="955" spans="9:10" ht="15.75" customHeight="1">
      <c r="I955" s="26"/>
      <c r="J955" s="27"/>
    </row>
    <row r="956" spans="9:10" ht="15.75" customHeight="1">
      <c r="I956" s="26"/>
      <c r="J956" s="27"/>
    </row>
    <row r="957" spans="9:10" ht="15.75" customHeight="1">
      <c r="I957" s="26"/>
      <c r="J957" s="27"/>
    </row>
    <row r="958" spans="9:10" ht="15.75" customHeight="1">
      <c r="I958" s="26"/>
      <c r="J958" s="27"/>
    </row>
    <row r="959" spans="9:10" ht="15.75" customHeight="1">
      <c r="I959" s="26"/>
      <c r="J959" s="27"/>
    </row>
    <row r="960" spans="9:10" ht="15.75" customHeight="1">
      <c r="I960" s="26"/>
      <c r="J960" s="27"/>
    </row>
    <row r="961" spans="9:10" ht="15.75" customHeight="1">
      <c r="I961" s="26"/>
      <c r="J961" s="27"/>
    </row>
    <row r="962" spans="9:10" ht="15.75" customHeight="1">
      <c r="I962" s="26"/>
      <c r="J962" s="27"/>
    </row>
    <row r="963" spans="9:10" ht="15.75" customHeight="1">
      <c r="I963" s="26"/>
      <c r="J963" s="27"/>
    </row>
    <row r="964" spans="9:10" ht="15.75" customHeight="1">
      <c r="I964" s="26"/>
      <c r="J964" s="27"/>
    </row>
    <row r="965" spans="9:10" ht="15.75" customHeight="1">
      <c r="I965" s="26"/>
      <c r="J965" s="27"/>
    </row>
    <row r="966" spans="9:10" ht="15.75" customHeight="1">
      <c r="I966" s="26"/>
      <c r="J966" s="27"/>
    </row>
    <row r="967" spans="9:10" ht="15.75" customHeight="1">
      <c r="I967" s="26"/>
      <c r="J967" s="27"/>
    </row>
    <row r="968" spans="9:10" ht="15.75" customHeight="1">
      <c r="I968" s="26"/>
      <c r="J968" s="27"/>
    </row>
    <row r="969" spans="9:10" ht="15.75" customHeight="1">
      <c r="I969" s="26"/>
      <c r="J969" s="27"/>
    </row>
    <row r="970" spans="9:10" ht="15.75" customHeight="1">
      <c r="I970" s="26"/>
      <c r="J970" s="27"/>
    </row>
    <row r="971" spans="9:10" ht="15.75" customHeight="1">
      <c r="I971" s="26"/>
      <c r="J971" s="27"/>
    </row>
    <row r="972" spans="9:10" ht="15.75" customHeight="1">
      <c r="I972" s="26"/>
      <c r="J972" s="27"/>
    </row>
    <row r="973" spans="9:10" ht="15.75" customHeight="1">
      <c r="I973" s="26"/>
      <c r="J973" s="27"/>
    </row>
    <row r="974" spans="9:10" ht="15.75" customHeight="1">
      <c r="I974" s="26"/>
      <c r="J974" s="27"/>
    </row>
    <row r="975" spans="9:10" ht="15.75" customHeight="1">
      <c r="I975" s="26"/>
      <c r="J975" s="27"/>
    </row>
    <row r="976" spans="9:10" ht="15.75" customHeight="1">
      <c r="I976" s="26"/>
      <c r="J976" s="27"/>
    </row>
    <row r="977" spans="9:10" ht="15.75" customHeight="1">
      <c r="I977" s="26"/>
      <c r="J977" s="27"/>
    </row>
    <row r="978" spans="9:10" ht="15.75" customHeight="1">
      <c r="I978" s="26"/>
      <c r="J978" s="27"/>
    </row>
    <row r="979" spans="9:10" ht="15.75" customHeight="1">
      <c r="I979" s="26"/>
      <c r="J979" s="27"/>
    </row>
    <row r="980" spans="9:10" ht="15.75" customHeight="1">
      <c r="I980" s="26"/>
      <c r="J980" s="27"/>
    </row>
    <row r="981" spans="9:10" ht="15.75" customHeight="1">
      <c r="I981" s="26"/>
      <c r="J981" s="27"/>
    </row>
    <row r="982" spans="9:10" ht="15.75" customHeight="1">
      <c r="I982" s="26"/>
      <c r="J982" s="27"/>
    </row>
    <row r="983" spans="9:10" ht="15.75" customHeight="1">
      <c r="I983" s="26"/>
      <c r="J983" s="27"/>
    </row>
    <row r="984" spans="9:10" ht="15.75" customHeight="1">
      <c r="I984" s="26"/>
      <c r="J984" s="27"/>
    </row>
    <row r="985" spans="9:10" ht="15.75" customHeight="1">
      <c r="I985" s="26"/>
      <c r="J985" s="27"/>
    </row>
    <row r="986" spans="9:10" ht="15.75" customHeight="1">
      <c r="I986" s="26"/>
      <c r="J986" s="27"/>
    </row>
    <row r="987" spans="9:10" ht="15.75" customHeight="1">
      <c r="I987" s="26"/>
      <c r="J987" s="27"/>
    </row>
    <row r="988" spans="9:10" ht="15.75" customHeight="1">
      <c r="I988" s="26"/>
      <c r="J988" s="27"/>
    </row>
    <row r="989" spans="9:10" ht="15.75" customHeight="1">
      <c r="I989" s="26"/>
      <c r="J989" s="27"/>
    </row>
    <row r="990" spans="9:10" ht="15.75" customHeight="1">
      <c r="I990" s="26"/>
      <c r="J990" s="27"/>
    </row>
    <row r="991" spans="9:10" ht="15.75" customHeight="1">
      <c r="I991" s="26"/>
      <c r="J991" s="27"/>
    </row>
    <row r="992" spans="9:10" ht="15.75" customHeight="1">
      <c r="I992" s="26"/>
      <c r="J992" s="27"/>
    </row>
    <row r="993" spans="9:10" ht="15.75" customHeight="1">
      <c r="I993" s="26"/>
      <c r="J993" s="27"/>
    </row>
    <row r="994" spans="9:10" ht="15.75" customHeight="1">
      <c r="I994" s="26"/>
      <c r="J994" s="27"/>
    </row>
    <row r="995" spans="9:10" ht="15.75" customHeight="1">
      <c r="I995" s="26"/>
      <c r="J995" s="27"/>
    </row>
    <row r="996" spans="9:10" ht="15.75" customHeight="1">
      <c r="I996" s="26"/>
      <c r="J996" s="27"/>
    </row>
    <row r="997" spans="9:10" ht="15.75" customHeight="1">
      <c r="I997" s="26"/>
      <c r="J997" s="27"/>
    </row>
    <row r="998" spans="9:10" ht="15.75" customHeight="1">
      <c r="I998" s="26"/>
      <c r="J998" s="27"/>
    </row>
    <row r="999" spans="9:10" ht="15.75" customHeight="1">
      <c r="I999" s="26"/>
      <c r="J999" s="27"/>
    </row>
    <row r="1000" spans="9:10" ht="15.75" customHeight="1">
      <c r="I1000" s="26"/>
      <c r="J1000" s="27"/>
    </row>
  </sheetData>
  <mergeCells count="6">
    <mergeCell ref="B7:D7"/>
    <mergeCell ref="B8:D8"/>
    <mergeCell ref="B11:D11"/>
    <mergeCell ref="E11:F11"/>
    <mergeCell ref="B21:D21"/>
    <mergeCell ref="E21:F2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1001"/>
  <sheetViews>
    <sheetView showGridLines="0" topLeftCell="A3" workbookViewId="0">
      <pane xSplit="6" ySplit="6" topLeftCell="AQ20" activePane="bottomRight" state="frozen"/>
      <selection pane="bottomRight" activeCell="G9" sqref="G9"/>
      <selection pane="bottomLeft" activeCell="A9" sqref="A9"/>
      <selection pane="topRight" activeCell="G3" sqref="G3"/>
    </sheetView>
  </sheetViews>
  <sheetFormatPr defaultColWidth="14.42578125" defaultRowHeight="15" customHeight="1"/>
  <cols>
    <col min="1" max="1" width="23.85546875" customWidth="1"/>
    <col min="2" max="2" width="20" customWidth="1"/>
    <col min="3" max="4" width="13.42578125" customWidth="1"/>
    <col min="5" max="5" width="17" customWidth="1"/>
    <col min="6" max="6" width="3" customWidth="1"/>
    <col min="7" max="7" width="14.42578125" customWidth="1"/>
    <col min="8" max="42" width="12.42578125" customWidth="1"/>
    <col min="43" max="47" width="10.5703125" customWidth="1"/>
    <col min="48" max="48" width="11.85546875" bestFit="1" customWidth="1"/>
    <col min="49" max="49" width="13.42578125" customWidth="1"/>
    <col min="50" max="51" width="14.42578125" customWidth="1"/>
    <col min="52" max="52" width="10.5703125" customWidth="1"/>
  </cols>
  <sheetData>
    <row r="1" spans="1:53" ht="21">
      <c r="A1" s="1" t="s">
        <v>0</v>
      </c>
    </row>
    <row r="2" spans="1:53" ht="18.600000000000001">
      <c r="A2" s="2" t="s">
        <v>149</v>
      </c>
    </row>
    <row r="5" spans="1:53" ht="29.1">
      <c r="A5" s="38" t="s">
        <v>150</v>
      </c>
      <c r="B5" s="39" t="s">
        <v>151</v>
      </c>
    </row>
    <row r="6" spans="1:53" ht="29.1">
      <c r="A6" s="38" t="s">
        <v>152</v>
      </c>
      <c r="B6" s="39" t="s">
        <v>153</v>
      </c>
    </row>
    <row r="8" spans="1:53" ht="15.6">
      <c r="C8" s="107" t="s">
        <v>154</v>
      </c>
      <c r="D8" s="113"/>
      <c r="E8" s="113"/>
      <c r="G8" s="86" t="s">
        <v>73</v>
      </c>
      <c r="H8" s="86" t="s">
        <v>74</v>
      </c>
      <c r="I8" s="86" t="s">
        <v>75</v>
      </c>
      <c r="J8" s="86" t="s">
        <v>76</v>
      </c>
      <c r="K8" s="86" t="s">
        <v>77</v>
      </c>
      <c r="L8" s="86" t="s">
        <v>78</v>
      </c>
      <c r="M8" s="86" t="s">
        <v>79</v>
      </c>
      <c r="N8" s="86" t="s">
        <v>80</v>
      </c>
      <c r="O8" s="86" t="s">
        <v>81</v>
      </c>
      <c r="P8" s="86" t="s">
        <v>82</v>
      </c>
      <c r="Q8" s="86" t="s">
        <v>83</v>
      </c>
      <c r="R8" s="86" t="s">
        <v>84</v>
      </c>
      <c r="S8" s="76">
        <v>45748</v>
      </c>
      <c r="T8" s="76">
        <v>45778</v>
      </c>
      <c r="U8" s="76">
        <v>45809</v>
      </c>
      <c r="V8" s="76">
        <v>45839</v>
      </c>
      <c r="W8" s="76">
        <v>45870</v>
      </c>
      <c r="X8" s="76">
        <v>45901</v>
      </c>
      <c r="Y8" s="76">
        <v>45931</v>
      </c>
      <c r="Z8" s="76">
        <v>45962</v>
      </c>
      <c r="AA8" s="76">
        <v>45992</v>
      </c>
      <c r="AB8" s="76">
        <v>46023</v>
      </c>
      <c r="AC8" s="76">
        <v>46054</v>
      </c>
      <c r="AD8" s="76">
        <v>46082</v>
      </c>
      <c r="AE8" s="76">
        <v>46113</v>
      </c>
      <c r="AF8" s="76">
        <v>46143</v>
      </c>
      <c r="AG8" s="76">
        <v>46174</v>
      </c>
      <c r="AH8" s="76">
        <v>46204</v>
      </c>
      <c r="AI8" s="76">
        <v>46235</v>
      </c>
      <c r="AJ8" s="76">
        <v>46266</v>
      </c>
      <c r="AK8" s="76">
        <v>46296</v>
      </c>
      <c r="AL8" s="76">
        <v>46327</v>
      </c>
      <c r="AM8" s="76">
        <v>46357</v>
      </c>
      <c r="AN8" s="76">
        <v>46388</v>
      </c>
      <c r="AO8" s="76">
        <v>46419</v>
      </c>
      <c r="AP8" s="76">
        <v>46447</v>
      </c>
      <c r="AR8" s="107" t="s">
        <v>155</v>
      </c>
      <c r="AS8" s="113"/>
      <c r="AU8" s="76" t="s">
        <v>7</v>
      </c>
      <c r="AV8" s="76" t="s">
        <v>8</v>
      </c>
      <c r="AX8" s="53"/>
      <c r="AY8" s="53"/>
      <c r="AZ8" s="53"/>
      <c r="BA8" s="53"/>
    </row>
    <row r="9" spans="1:53" ht="15.6">
      <c r="A9" s="81" t="s">
        <v>156</v>
      </c>
      <c r="B9" s="81" t="s">
        <v>157</v>
      </c>
      <c r="C9" s="80" t="s">
        <v>4</v>
      </c>
      <c r="D9" s="80" t="s">
        <v>5</v>
      </c>
      <c r="E9" s="80" t="s">
        <v>6</v>
      </c>
      <c r="AR9" s="80" t="s">
        <v>7</v>
      </c>
      <c r="AS9" s="80" t="s">
        <v>8</v>
      </c>
      <c r="AX9" s="53"/>
      <c r="AY9" s="53"/>
      <c r="AZ9" s="53"/>
      <c r="BA9" s="53"/>
    </row>
    <row r="10" spans="1:53" ht="14.45">
      <c r="A10" s="62" t="s">
        <v>158</v>
      </c>
      <c r="B10" s="62" t="s">
        <v>159</v>
      </c>
      <c r="C10" s="19">
        <v>200000</v>
      </c>
      <c r="D10" s="19">
        <f t="shared" ref="D10:E10" si="0">C10*1.1</f>
        <v>220000.00000000003</v>
      </c>
      <c r="E10" s="19">
        <f t="shared" si="0"/>
        <v>242000.00000000006</v>
      </c>
      <c r="G10" s="62">
        <v>1</v>
      </c>
      <c r="H10" s="62">
        <v>1</v>
      </c>
      <c r="I10" s="62">
        <v>1</v>
      </c>
      <c r="J10" s="62">
        <v>1</v>
      </c>
      <c r="K10" s="62">
        <v>1</v>
      </c>
      <c r="L10" s="62">
        <v>1</v>
      </c>
      <c r="M10" s="62">
        <v>1</v>
      </c>
      <c r="N10" s="62">
        <v>1</v>
      </c>
      <c r="O10" s="62">
        <v>1</v>
      </c>
      <c r="P10" s="62">
        <v>1</v>
      </c>
      <c r="Q10" s="62">
        <v>1</v>
      </c>
      <c r="R10" s="62">
        <v>1</v>
      </c>
      <c r="S10" s="62">
        <v>1</v>
      </c>
      <c r="T10" s="62">
        <v>1</v>
      </c>
      <c r="U10" s="62">
        <v>1</v>
      </c>
      <c r="V10" s="62">
        <v>1</v>
      </c>
      <c r="W10" s="62">
        <v>1</v>
      </c>
      <c r="X10" s="62">
        <v>1</v>
      </c>
      <c r="Y10" s="62">
        <v>1</v>
      </c>
      <c r="Z10" s="62">
        <v>1</v>
      </c>
      <c r="AA10" s="62">
        <v>1</v>
      </c>
      <c r="AB10" s="62">
        <v>1</v>
      </c>
      <c r="AC10" s="62">
        <v>1</v>
      </c>
      <c r="AD10" s="62">
        <v>1</v>
      </c>
      <c r="AE10" s="62">
        <v>1</v>
      </c>
      <c r="AF10" s="62">
        <v>1</v>
      </c>
      <c r="AG10" s="62">
        <v>1</v>
      </c>
      <c r="AH10" s="62">
        <v>1</v>
      </c>
      <c r="AI10" s="62">
        <v>1</v>
      </c>
      <c r="AJ10" s="62">
        <v>1</v>
      </c>
      <c r="AK10" s="62">
        <v>1</v>
      </c>
      <c r="AL10" s="62">
        <v>1</v>
      </c>
      <c r="AM10" s="62">
        <v>1</v>
      </c>
      <c r="AN10" s="62">
        <v>1</v>
      </c>
      <c r="AO10" s="62">
        <v>1</v>
      </c>
      <c r="AP10" s="62">
        <v>1</v>
      </c>
      <c r="AR10" s="19">
        <f t="shared" ref="AR10:AR13" si="1">E10*1.1*12</f>
        <v>3194400.0000000009</v>
      </c>
      <c r="AS10" s="19">
        <f t="shared" ref="AS10:AS13" si="2">AR10*1.1</f>
        <v>3513840.0000000014</v>
      </c>
      <c r="AU10" s="62">
        <v>1</v>
      </c>
      <c r="AV10" s="62">
        <v>1</v>
      </c>
      <c r="AX10" s="53"/>
      <c r="AY10" s="53"/>
      <c r="AZ10" s="53"/>
      <c r="BA10" s="53"/>
    </row>
    <row r="11" spans="1:53" ht="14.45">
      <c r="A11" s="35" t="s">
        <v>160</v>
      </c>
      <c r="B11" s="62" t="s">
        <v>161</v>
      </c>
      <c r="C11" s="19">
        <v>90000</v>
      </c>
      <c r="D11" s="19">
        <f t="shared" ref="D11:E11" si="3">C11*1.1</f>
        <v>99000.000000000015</v>
      </c>
      <c r="E11" s="19">
        <f t="shared" si="3"/>
        <v>108900.00000000003</v>
      </c>
      <c r="G11" s="62">
        <v>1</v>
      </c>
      <c r="H11" s="62">
        <v>1</v>
      </c>
      <c r="I11" s="62">
        <v>1</v>
      </c>
      <c r="J11" s="62">
        <v>1</v>
      </c>
      <c r="K11" s="62">
        <v>1</v>
      </c>
      <c r="L11" s="62">
        <v>1</v>
      </c>
      <c r="M11" s="62">
        <v>1</v>
      </c>
      <c r="N11" s="62">
        <v>1</v>
      </c>
      <c r="O11" s="62">
        <v>1</v>
      </c>
      <c r="P11" s="62">
        <v>1</v>
      </c>
      <c r="Q11" s="62">
        <v>1</v>
      </c>
      <c r="R11" s="62">
        <v>1</v>
      </c>
      <c r="S11" s="62">
        <v>1</v>
      </c>
      <c r="T11" s="62">
        <v>1</v>
      </c>
      <c r="U11" s="62">
        <v>1</v>
      </c>
      <c r="V11" s="62">
        <v>1</v>
      </c>
      <c r="W11" s="62">
        <v>1</v>
      </c>
      <c r="X11" s="62">
        <v>1</v>
      </c>
      <c r="Y11" s="62">
        <v>1</v>
      </c>
      <c r="Z11" s="62">
        <v>1</v>
      </c>
      <c r="AA11" s="62">
        <v>1</v>
      </c>
      <c r="AB11" s="62">
        <v>1</v>
      </c>
      <c r="AC11" s="62">
        <v>1</v>
      </c>
      <c r="AD11" s="62">
        <v>1</v>
      </c>
      <c r="AE11" s="62">
        <v>1</v>
      </c>
      <c r="AF11" s="62">
        <v>1</v>
      </c>
      <c r="AG11" s="62">
        <v>1</v>
      </c>
      <c r="AH11" s="62">
        <v>1</v>
      </c>
      <c r="AI11" s="62">
        <v>1</v>
      </c>
      <c r="AJ11" s="62">
        <v>1</v>
      </c>
      <c r="AK11" s="62">
        <v>1</v>
      </c>
      <c r="AL11" s="62">
        <v>1</v>
      </c>
      <c r="AM11" s="62">
        <v>1</v>
      </c>
      <c r="AN11" s="62">
        <v>1</v>
      </c>
      <c r="AO11" s="62">
        <v>1</v>
      </c>
      <c r="AP11" s="62">
        <v>1</v>
      </c>
      <c r="AR11" s="19">
        <f t="shared" si="1"/>
        <v>1437480.0000000005</v>
      </c>
      <c r="AS11" s="19">
        <f t="shared" si="2"/>
        <v>1581228.0000000007</v>
      </c>
      <c r="AU11" s="62">
        <v>2</v>
      </c>
      <c r="AV11" s="62">
        <v>2</v>
      </c>
      <c r="AX11" s="53"/>
      <c r="AY11" s="53"/>
      <c r="AZ11" s="53"/>
      <c r="BA11" s="53"/>
    </row>
    <row r="12" spans="1:53" ht="14.45">
      <c r="A12" s="62" t="s">
        <v>162</v>
      </c>
      <c r="B12" s="62" t="s">
        <v>161</v>
      </c>
      <c r="C12" s="19">
        <v>90000</v>
      </c>
      <c r="D12" s="19">
        <f t="shared" ref="D12:E12" si="4">C12*1.1</f>
        <v>99000.000000000015</v>
      </c>
      <c r="E12" s="19">
        <f t="shared" si="4"/>
        <v>108900.00000000003</v>
      </c>
      <c r="G12" s="62">
        <v>1</v>
      </c>
      <c r="H12" s="62">
        <v>1</v>
      </c>
      <c r="I12" s="62">
        <v>1</v>
      </c>
      <c r="J12" s="62">
        <v>1</v>
      </c>
      <c r="K12" s="62">
        <v>1</v>
      </c>
      <c r="L12" s="62">
        <v>1</v>
      </c>
      <c r="M12" s="62">
        <v>1</v>
      </c>
      <c r="N12" s="62">
        <v>1</v>
      </c>
      <c r="O12" s="62">
        <v>1</v>
      </c>
      <c r="P12" s="62">
        <v>1</v>
      </c>
      <c r="Q12" s="62">
        <v>1</v>
      </c>
      <c r="R12" s="62">
        <v>1</v>
      </c>
      <c r="S12" s="62">
        <v>1</v>
      </c>
      <c r="T12" s="62">
        <v>1</v>
      </c>
      <c r="U12" s="62">
        <v>1</v>
      </c>
      <c r="V12" s="62">
        <v>1</v>
      </c>
      <c r="W12" s="62">
        <v>1</v>
      </c>
      <c r="X12" s="62">
        <v>1</v>
      </c>
      <c r="Y12" s="62">
        <v>1</v>
      </c>
      <c r="Z12" s="62">
        <v>1</v>
      </c>
      <c r="AA12" s="62">
        <v>1</v>
      </c>
      <c r="AB12" s="62">
        <v>1</v>
      </c>
      <c r="AC12" s="62">
        <v>1</v>
      </c>
      <c r="AD12" s="62">
        <v>1</v>
      </c>
      <c r="AE12" s="62">
        <v>1</v>
      </c>
      <c r="AF12" s="62">
        <v>1</v>
      </c>
      <c r="AG12" s="62">
        <v>1</v>
      </c>
      <c r="AH12" s="62">
        <v>1</v>
      </c>
      <c r="AI12" s="62">
        <v>1</v>
      </c>
      <c r="AJ12" s="62">
        <v>1</v>
      </c>
      <c r="AK12" s="62">
        <v>1</v>
      </c>
      <c r="AL12" s="62">
        <v>1</v>
      </c>
      <c r="AM12" s="62">
        <v>1</v>
      </c>
      <c r="AN12" s="62">
        <v>1</v>
      </c>
      <c r="AO12" s="62">
        <v>1</v>
      </c>
      <c r="AP12" s="62">
        <v>1</v>
      </c>
      <c r="AR12" s="19">
        <f t="shared" si="1"/>
        <v>1437480.0000000005</v>
      </c>
      <c r="AS12" s="19">
        <f t="shared" si="2"/>
        <v>1581228.0000000007</v>
      </c>
      <c r="AU12" s="62">
        <v>1</v>
      </c>
      <c r="AV12" s="62">
        <v>1</v>
      </c>
      <c r="AX12" s="53"/>
      <c r="AY12" s="53"/>
      <c r="AZ12" s="53"/>
      <c r="BA12" s="53"/>
    </row>
    <row r="13" spans="1:53" ht="14.45">
      <c r="A13" s="62" t="s">
        <v>163</v>
      </c>
      <c r="B13" s="62" t="s">
        <v>159</v>
      </c>
      <c r="C13" s="19">
        <v>100000</v>
      </c>
      <c r="D13" s="19">
        <f t="shared" ref="D13:E13" si="5">C13*1.1</f>
        <v>110000.00000000001</v>
      </c>
      <c r="E13" s="19">
        <f t="shared" si="5"/>
        <v>121000.00000000003</v>
      </c>
      <c r="G13" s="62">
        <v>1</v>
      </c>
      <c r="H13" s="62">
        <v>1</v>
      </c>
      <c r="I13" s="62">
        <v>1</v>
      </c>
      <c r="J13" s="62">
        <v>1</v>
      </c>
      <c r="K13" s="62">
        <v>1</v>
      </c>
      <c r="L13" s="62">
        <v>1</v>
      </c>
      <c r="M13" s="62">
        <v>1</v>
      </c>
      <c r="N13" s="62">
        <v>1</v>
      </c>
      <c r="O13" s="62">
        <v>1</v>
      </c>
      <c r="P13" s="62">
        <v>1</v>
      </c>
      <c r="Q13" s="62">
        <v>1</v>
      </c>
      <c r="R13" s="62">
        <v>1</v>
      </c>
      <c r="S13" s="62">
        <v>1</v>
      </c>
      <c r="T13" s="62">
        <v>1</v>
      </c>
      <c r="U13" s="62">
        <v>1</v>
      </c>
      <c r="V13" s="62">
        <v>1</v>
      </c>
      <c r="W13" s="62">
        <v>1</v>
      </c>
      <c r="X13" s="62">
        <v>1</v>
      </c>
      <c r="Y13" s="62">
        <v>1</v>
      </c>
      <c r="Z13" s="62">
        <v>1</v>
      </c>
      <c r="AA13" s="62">
        <v>1</v>
      </c>
      <c r="AB13" s="62">
        <v>1</v>
      </c>
      <c r="AC13" s="62">
        <v>1</v>
      </c>
      <c r="AD13" s="62">
        <v>1</v>
      </c>
      <c r="AE13" s="62">
        <v>1</v>
      </c>
      <c r="AF13" s="62">
        <v>1</v>
      </c>
      <c r="AG13" s="62">
        <v>1</v>
      </c>
      <c r="AH13" s="62">
        <v>1</v>
      </c>
      <c r="AI13" s="62">
        <v>1</v>
      </c>
      <c r="AJ13" s="62">
        <v>1</v>
      </c>
      <c r="AK13" s="62">
        <v>1</v>
      </c>
      <c r="AL13" s="62">
        <v>1</v>
      </c>
      <c r="AM13" s="62">
        <v>1</v>
      </c>
      <c r="AN13" s="62">
        <v>1</v>
      </c>
      <c r="AO13" s="62">
        <v>1</v>
      </c>
      <c r="AP13" s="62">
        <v>1</v>
      </c>
      <c r="AR13" s="19">
        <f t="shared" si="1"/>
        <v>1597200.0000000005</v>
      </c>
      <c r="AS13" s="19">
        <f t="shared" si="2"/>
        <v>1756920.0000000007</v>
      </c>
      <c r="AU13" s="62">
        <v>1</v>
      </c>
      <c r="AV13" s="62">
        <v>1</v>
      </c>
      <c r="AX13" s="53"/>
      <c r="AY13" s="53"/>
      <c r="AZ13" s="53"/>
      <c r="BA13" s="53"/>
    </row>
    <row r="14" spans="1:53" ht="14.45">
      <c r="D14" s="5" t="s">
        <v>164</v>
      </c>
      <c r="G14" s="7">
        <f t="shared" ref="G14:R14" si="6">SUMPRODUCT($C$10:$C$13,G10:G13)</f>
        <v>480000</v>
      </c>
      <c r="H14" s="7">
        <f t="shared" si="6"/>
        <v>480000</v>
      </c>
      <c r="I14" s="7">
        <f t="shared" si="6"/>
        <v>480000</v>
      </c>
      <c r="J14" s="7">
        <f t="shared" si="6"/>
        <v>480000</v>
      </c>
      <c r="K14" s="7">
        <f t="shared" si="6"/>
        <v>480000</v>
      </c>
      <c r="L14" s="7">
        <f t="shared" si="6"/>
        <v>480000</v>
      </c>
      <c r="M14" s="7">
        <f t="shared" si="6"/>
        <v>480000</v>
      </c>
      <c r="N14" s="7">
        <f t="shared" si="6"/>
        <v>480000</v>
      </c>
      <c r="O14" s="7">
        <f t="shared" si="6"/>
        <v>480000</v>
      </c>
      <c r="P14" s="7">
        <f t="shared" si="6"/>
        <v>480000</v>
      </c>
      <c r="Q14" s="7">
        <f t="shared" si="6"/>
        <v>480000</v>
      </c>
      <c r="R14" s="7">
        <f t="shared" si="6"/>
        <v>480000</v>
      </c>
      <c r="S14" s="7">
        <f t="shared" ref="S14:AD14" si="7">SUMPRODUCT($D$10:$D$13,S10:S13)</f>
        <v>528000.00000000012</v>
      </c>
      <c r="T14" s="7">
        <f t="shared" si="7"/>
        <v>528000.00000000012</v>
      </c>
      <c r="U14" s="7">
        <f t="shared" si="7"/>
        <v>528000.00000000012</v>
      </c>
      <c r="V14" s="7">
        <f t="shared" si="7"/>
        <v>528000.00000000012</v>
      </c>
      <c r="W14" s="7">
        <f t="shared" si="7"/>
        <v>528000.00000000012</v>
      </c>
      <c r="X14" s="7">
        <f t="shared" si="7"/>
        <v>528000.00000000012</v>
      </c>
      <c r="Y14" s="7">
        <f t="shared" si="7"/>
        <v>528000.00000000012</v>
      </c>
      <c r="Z14" s="7">
        <f t="shared" si="7"/>
        <v>528000.00000000012</v>
      </c>
      <c r="AA14" s="7">
        <f t="shared" si="7"/>
        <v>528000.00000000012</v>
      </c>
      <c r="AB14" s="7">
        <f t="shared" si="7"/>
        <v>528000.00000000012</v>
      </c>
      <c r="AC14" s="7">
        <f t="shared" si="7"/>
        <v>528000.00000000012</v>
      </c>
      <c r="AD14" s="7">
        <f t="shared" si="7"/>
        <v>528000.00000000012</v>
      </c>
      <c r="AE14" s="7">
        <f t="shared" ref="AE14:AP14" si="8">SUMPRODUCT($E$10:$E$13,AE10:AE13)</f>
        <v>580800.00000000012</v>
      </c>
      <c r="AF14" s="7">
        <f t="shared" si="8"/>
        <v>580800.00000000012</v>
      </c>
      <c r="AG14" s="7">
        <f t="shared" si="8"/>
        <v>580800.00000000012</v>
      </c>
      <c r="AH14" s="7">
        <f t="shared" si="8"/>
        <v>580800.00000000012</v>
      </c>
      <c r="AI14" s="7">
        <f t="shared" si="8"/>
        <v>580800.00000000012</v>
      </c>
      <c r="AJ14" s="7">
        <f t="shared" si="8"/>
        <v>580800.00000000012</v>
      </c>
      <c r="AK14" s="7">
        <f t="shared" si="8"/>
        <v>580800.00000000012</v>
      </c>
      <c r="AL14" s="7">
        <f t="shared" si="8"/>
        <v>580800.00000000012</v>
      </c>
      <c r="AM14" s="7">
        <f t="shared" si="8"/>
        <v>580800.00000000012</v>
      </c>
      <c r="AN14" s="7">
        <f t="shared" si="8"/>
        <v>580800.00000000012</v>
      </c>
      <c r="AO14" s="7">
        <f t="shared" si="8"/>
        <v>580800.00000000012</v>
      </c>
      <c r="AP14" s="7">
        <f t="shared" si="8"/>
        <v>580800.00000000012</v>
      </c>
      <c r="AU14" s="7">
        <f t="shared" ref="AU14:AV14" si="9">SUMPRODUCT(AR10:AR13,AU10:AU13)</f>
        <v>9104040.0000000019</v>
      </c>
      <c r="AV14" s="7">
        <f t="shared" si="9"/>
        <v>10014444.000000004</v>
      </c>
      <c r="AX14" s="53"/>
      <c r="AY14" s="53"/>
      <c r="AZ14" s="53"/>
      <c r="BA14" s="53"/>
    </row>
    <row r="15" spans="1:53" ht="14.45">
      <c r="A15" s="35"/>
      <c r="D15" s="5" t="s">
        <v>165</v>
      </c>
      <c r="G15" s="62">
        <f t="shared" ref="G15:AP15" si="10">SUM(G10:G13)</f>
        <v>4</v>
      </c>
      <c r="H15" s="62">
        <f t="shared" si="10"/>
        <v>4</v>
      </c>
      <c r="I15" s="62">
        <f t="shared" si="10"/>
        <v>4</v>
      </c>
      <c r="J15" s="62">
        <f t="shared" si="10"/>
        <v>4</v>
      </c>
      <c r="K15" s="62">
        <f t="shared" si="10"/>
        <v>4</v>
      </c>
      <c r="L15" s="62">
        <f t="shared" si="10"/>
        <v>4</v>
      </c>
      <c r="M15" s="62">
        <f t="shared" si="10"/>
        <v>4</v>
      </c>
      <c r="N15" s="62">
        <f t="shared" si="10"/>
        <v>4</v>
      </c>
      <c r="O15" s="62">
        <f t="shared" si="10"/>
        <v>4</v>
      </c>
      <c r="P15" s="62">
        <f t="shared" si="10"/>
        <v>4</v>
      </c>
      <c r="Q15" s="62">
        <f t="shared" si="10"/>
        <v>4</v>
      </c>
      <c r="R15" s="62">
        <f t="shared" si="10"/>
        <v>4</v>
      </c>
      <c r="S15" s="62">
        <f t="shared" si="10"/>
        <v>4</v>
      </c>
      <c r="T15" s="62">
        <f t="shared" si="10"/>
        <v>4</v>
      </c>
      <c r="U15" s="62">
        <f t="shared" si="10"/>
        <v>4</v>
      </c>
      <c r="V15" s="62">
        <f t="shared" si="10"/>
        <v>4</v>
      </c>
      <c r="W15" s="62">
        <f t="shared" si="10"/>
        <v>4</v>
      </c>
      <c r="X15" s="62">
        <f t="shared" si="10"/>
        <v>4</v>
      </c>
      <c r="Y15" s="62">
        <f t="shared" si="10"/>
        <v>4</v>
      </c>
      <c r="Z15" s="62">
        <f t="shared" si="10"/>
        <v>4</v>
      </c>
      <c r="AA15" s="62">
        <f t="shared" si="10"/>
        <v>4</v>
      </c>
      <c r="AB15" s="62">
        <f t="shared" si="10"/>
        <v>4</v>
      </c>
      <c r="AC15" s="62">
        <f t="shared" si="10"/>
        <v>4</v>
      </c>
      <c r="AD15" s="62">
        <f t="shared" si="10"/>
        <v>4</v>
      </c>
      <c r="AE15" s="62">
        <f t="shared" si="10"/>
        <v>4</v>
      </c>
      <c r="AF15" s="62">
        <f t="shared" si="10"/>
        <v>4</v>
      </c>
      <c r="AG15" s="62">
        <f t="shared" si="10"/>
        <v>4</v>
      </c>
      <c r="AH15" s="62">
        <f t="shared" si="10"/>
        <v>4</v>
      </c>
      <c r="AI15" s="62">
        <f t="shared" si="10"/>
        <v>4</v>
      </c>
      <c r="AJ15" s="62">
        <f t="shared" si="10"/>
        <v>4</v>
      </c>
      <c r="AK15" s="62">
        <f t="shared" si="10"/>
        <v>4</v>
      </c>
      <c r="AL15" s="62">
        <f t="shared" si="10"/>
        <v>4</v>
      </c>
      <c r="AM15" s="62">
        <f t="shared" si="10"/>
        <v>4</v>
      </c>
      <c r="AN15" s="62">
        <f t="shared" si="10"/>
        <v>4</v>
      </c>
      <c r="AO15" s="62">
        <f t="shared" si="10"/>
        <v>4</v>
      </c>
      <c r="AP15" s="62">
        <f t="shared" si="10"/>
        <v>4</v>
      </c>
      <c r="AU15" s="62">
        <f t="shared" ref="AU15:AV15" si="11">SUM(AU10:AU13)</f>
        <v>5</v>
      </c>
      <c r="AV15" s="62">
        <f t="shared" si="11"/>
        <v>5</v>
      </c>
      <c r="AX15" s="53"/>
      <c r="AY15" s="53"/>
      <c r="AZ15" s="53"/>
      <c r="BA15" s="53"/>
    </row>
    <row r="16" spans="1:53" ht="14.45">
      <c r="A16" s="35"/>
      <c r="D16" s="5" t="s">
        <v>166</v>
      </c>
      <c r="G16" s="62">
        <f t="shared" ref="G16:R16" si="12">SUMPRODUCT($C$11:$C$12,G11:G12)</f>
        <v>180000</v>
      </c>
      <c r="H16" s="62">
        <f t="shared" si="12"/>
        <v>180000</v>
      </c>
      <c r="I16" s="62">
        <f t="shared" si="12"/>
        <v>180000</v>
      </c>
      <c r="J16" s="62">
        <f t="shared" si="12"/>
        <v>180000</v>
      </c>
      <c r="K16" s="62">
        <f t="shared" si="12"/>
        <v>180000</v>
      </c>
      <c r="L16" s="62">
        <f t="shared" si="12"/>
        <v>180000</v>
      </c>
      <c r="M16" s="62">
        <f t="shared" si="12"/>
        <v>180000</v>
      </c>
      <c r="N16" s="62">
        <f t="shared" si="12"/>
        <v>180000</v>
      </c>
      <c r="O16" s="62">
        <f t="shared" si="12"/>
        <v>180000</v>
      </c>
      <c r="P16" s="62">
        <f t="shared" si="12"/>
        <v>180000</v>
      </c>
      <c r="Q16" s="62">
        <f t="shared" si="12"/>
        <v>180000</v>
      </c>
      <c r="R16" s="62">
        <f t="shared" si="12"/>
        <v>180000</v>
      </c>
      <c r="S16" s="62">
        <f t="shared" ref="S16:AD16" si="13">SUMPRODUCT($D$11:$D$12,S11:S12)</f>
        <v>198000.00000000003</v>
      </c>
      <c r="T16" s="62">
        <f t="shared" si="13"/>
        <v>198000.00000000003</v>
      </c>
      <c r="U16" s="62">
        <f t="shared" si="13"/>
        <v>198000.00000000003</v>
      </c>
      <c r="V16" s="62">
        <f t="shared" si="13"/>
        <v>198000.00000000003</v>
      </c>
      <c r="W16" s="62">
        <f t="shared" si="13"/>
        <v>198000.00000000003</v>
      </c>
      <c r="X16" s="62">
        <f t="shared" si="13"/>
        <v>198000.00000000003</v>
      </c>
      <c r="Y16" s="62">
        <f t="shared" si="13"/>
        <v>198000.00000000003</v>
      </c>
      <c r="Z16" s="62">
        <f t="shared" si="13"/>
        <v>198000.00000000003</v>
      </c>
      <c r="AA16" s="62">
        <f t="shared" si="13"/>
        <v>198000.00000000003</v>
      </c>
      <c r="AB16" s="62">
        <f t="shared" si="13"/>
        <v>198000.00000000003</v>
      </c>
      <c r="AC16" s="62">
        <f t="shared" si="13"/>
        <v>198000.00000000003</v>
      </c>
      <c r="AD16" s="62">
        <f t="shared" si="13"/>
        <v>198000.00000000003</v>
      </c>
      <c r="AE16" s="62">
        <f t="shared" ref="AE16:AP16" si="14">SUMPRODUCT($E$11:$E$12,AE11:AE12)</f>
        <v>217800.00000000006</v>
      </c>
      <c r="AF16" s="62">
        <f t="shared" si="14"/>
        <v>217800.00000000006</v>
      </c>
      <c r="AG16" s="62">
        <f t="shared" si="14"/>
        <v>217800.00000000006</v>
      </c>
      <c r="AH16" s="62">
        <f t="shared" si="14"/>
        <v>217800.00000000006</v>
      </c>
      <c r="AI16" s="62">
        <f t="shared" si="14"/>
        <v>217800.00000000006</v>
      </c>
      <c r="AJ16" s="62">
        <f t="shared" si="14"/>
        <v>217800.00000000006</v>
      </c>
      <c r="AK16" s="62">
        <f t="shared" si="14"/>
        <v>217800.00000000006</v>
      </c>
      <c r="AL16" s="62">
        <f t="shared" si="14"/>
        <v>217800.00000000006</v>
      </c>
      <c r="AM16" s="62">
        <f t="shared" si="14"/>
        <v>217800.00000000006</v>
      </c>
      <c r="AN16" s="62">
        <f t="shared" si="14"/>
        <v>217800.00000000006</v>
      </c>
      <c r="AO16" s="62">
        <f t="shared" si="14"/>
        <v>217800.00000000006</v>
      </c>
      <c r="AP16" s="62">
        <f t="shared" si="14"/>
        <v>217800.00000000006</v>
      </c>
      <c r="AU16" s="62">
        <f t="shared" ref="AU16:AV16" si="15">SUMPRODUCT(AR11:AR12,AU11:AU12)</f>
        <v>4312440.0000000019</v>
      </c>
      <c r="AV16" s="62">
        <f t="shared" si="15"/>
        <v>4743684.0000000019</v>
      </c>
      <c r="AX16" s="53"/>
      <c r="AY16" s="53"/>
      <c r="AZ16" s="53"/>
      <c r="BA16" s="53"/>
    </row>
    <row r="17" spans="1:52" ht="14.45">
      <c r="A17" s="35"/>
      <c r="AR17" s="107" t="s">
        <v>155</v>
      </c>
      <c r="AS17" s="113"/>
    </row>
    <row r="18" spans="1:52" ht="15.6">
      <c r="A18" s="81" t="s">
        <v>122</v>
      </c>
      <c r="B18" s="81" t="s">
        <v>157</v>
      </c>
      <c r="C18" s="80" t="s">
        <v>4</v>
      </c>
      <c r="D18" s="80" t="s">
        <v>5</v>
      </c>
      <c r="E18" s="80" t="s">
        <v>6</v>
      </c>
      <c r="AR18" s="80" t="s">
        <v>7</v>
      </c>
      <c r="AS18" s="80" t="s">
        <v>8</v>
      </c>
    </row>
    <row r="19" spans="1:52" ht="14.45">
      <c r="A19" s="35" t="s">
        <v>167</v>
      </c>
      <c r="B19" s="62" t="s">
        <v>168</v>
      </c>
      <c r="C19" s="19">
        <v>120000</v>
      </c>
      <c r="D19" s="19">
        <f t="shared" ref="D19:E19" si="16">C19*1.1</f>
        <v>132000</v>
      </c>
      <c r="E19" s="19">
        <f t="shared" si="16"/>
        <v>145200</v>
      </c>
      <c r="G19" s="73">
        <f>ROUNDUP(('Revenue Buildup'!E7/3),0)</f>
        <v>1</v>
      </c>
      <c r="H19" s="73">
        <f>ROUNDUP(('Revenue Buildup'!F7/3),0)</f>
        <v>1</v>
      </c>
      <c r="I19" s="73">
        <f>ROUNDUP(('Revenue Buildup'!G7/3),0)</f>
        <v>1</v>
      </c>
      <c r="J19" s="73">
        <f>ROUNDUP((SUM('Revenue Buildup'!E7:G7)),0)/3</f>
        <v>1</v>
      </c>
      <c r="K19" s="73">
        <f>ROUNDUP((SUM('Revenue Buildup'!F7:H7)),0)/3</f>
        <v>1</v>
      </c>
      <c r="L19" s="73">
        <f>ROUNDUP((SUM('Revenue Buildup'!G7:I7)),0)/3</f>
        <v>1.3333333333333333</v>
      </c>
      <c r="M19" s="73">
        <f>ROUNDUP((SUM('Revenue Buildup'!H7:J7)),0)/3</f>
        <v>1.3333333333333333</v>
      </c>
      <c r="N19" s="73">
        <f>ROUNDUP((SUM('Revenue Buildup'!I7:K7)),0)/3</f>
        <v>1.6666666666666667</v>
      </c>
      <c r="O19" s="73">
        <f>ROUNDUP((SUM('Revenue Buildup'!J7:L7)),0)/3</f>
        <v>1.6666666666666667</v>
      </c>
      <c r="P19" s="73">
        <f>ROUNDUP((SUM('Revenue Buildup'!K7:M7)),0)/3</f>
        <v>1.6666666666666667</v>
      </c>
      <c r="Q19" s="73">
        <f>ROUNDUP((SUM('Revenue Buildup'!L7:N7)),0)/3</f>
        <v>1.6666666666666667</v>
      </c>
      <c r="R19" s="73">
        <f>ROUNDUP((SUM('Revenue Buildup'!M7:O7)),0)/3</f>
        <v>1.6666666666666667</v>
      </c>
      <c r="S19" s="73">
        <f>ROUNDUP((SUM('Revenue Buildup'!N7:P7)/3/2),0)</f>
        <v>1</v>
      </c>
      <c r="T19" s="73">
        <f>ROUNDUP((SUM('Revenue Buildup'!O7:Q7)/3/2),0)</f>
        <v>1</v>
      </c>
      <c r="U19" s="73">
        <f>ROUNDUP((SUM('Revenue Buildup'!P7:R7)/3/2),0)</f>
        <v>2</v>
      </c>
      <c r="V19" s="73">
        <f>ROUNDUP((SUM('Revenue Buildup'!Q7:S7)/3/2),0)</f>
        <v>1</v>
      </c>
      <c r="W19" s="73">
        <f>ROUNDUP((SUM('Revenue Buildup'!R7:T7)/3/2),0)</f>
        <v>1</v>
      </c>
      <c r="X19" s="73">
        <f>ROUNDUP((SUM('Revenue Buildup'!S7:U7)/3/2),0)</f>
        <v>1</v>
      </c>
      <c r="Y19" s="73">
        <f>ROUNDUP((SUM('Revenue Buildup'!T7:V7)/3/2),0)</f>
        <v>1</v>
      </c>
      <c r="Z19" s="73">
        <f>ROUNDUP((SUM('Revenue Buildup'!U7:W7)/3/2),0)</f>
        <v>1</v>
      </c>
      <c r="AA19" s="73">
        <f>ROUNDUP((SUM('Revenue Buildup'!V7:X7)/3/2),0)</f>
        <v>1</v>
      </c>
      <c r="AB19" s="73">
        <f>ROUNDUP((SUM('Revenue Buildup'!W7:Y7)/3/2),0)</f>
        <v>2</v>
      </c>
      <c r="AC19" s="73">
        <f>ROUNDUP((SUM('Revenue Buildup'!X7:Z7)/3/2),0)</f>
        <v>2</v>
      </c>
      <c r="AD19" s="73">
        <f>ROUNDUP((SUM('Revenue Buildup'!Y7:AA7)/3/2),0)</f>
        <v>2</v>
      </c>
      <c r="AE19" s="73">
        <f>ROUNDUP((SUM('Revenue Buildup'!Z7:AB7)/3/2),0)</f>
        <v>2</v>
      </c>
      <c r="AF19" s="73">
        <f>ROUNDUP((SUM('Revenue Buildup'!AA7:AC7)/3/2),0)</f>
        <v>2</v>
      </c>
      <c r="AG19" s="73">
        <f>ROUNDUP((SUM('Revenue Buildup'!AB7:AD7)/3/2),0)</f>
        <v>2</v>
      </c>
      <c r="AH19" s="73">
        <f>ROUNDUP((SUM('Revenue Buildup'!AC7:AE7)/3/2),0)</f>
        <v>2</v>
      </c>
      <c r="AI19" s="73">
        <f>ROUNDUP((SUM('Revenue Buildup'!AD7:AF7)/3/2),0)</f>
        <v>2</v>
      </c>
      <c r="AJ19" s="73">
        <f>ROUNDUP((SUM('Revenue Buildup'!AE7:AG7)/3/2),0)</f>
        <v>2</v>
      </c>
      <c r="AK19" s="73">
        <f>ROUNDUP((SUM('Revenue Buildup'!AF7:AH7)/3/2),0)</f>
        <v>2</v>
      </c>
      <c r="AL19" s="73">
        <f>ROUNDUP((SUM('Revenue Buildup'!AG7:AI7)/3/2),0)</f>
        <v>2</v>
      </c>
      <c r="AM19" s="73">
        <f>ROUNDUP((SUM('Revenue Buildup'!AH7:AJ7)/3/2),0)</f>
        <v>2</v>
      </c>
      <c r="AN19" s="73">
        <f>ROUNDUP((SUM('Revenue Buildup'!AI7:AK7)/3/2),0)</f>
        <v>2</v>
      </c>
      <c r="AO19" s="73">
        <f>ROUNDUP((SUM('Revenue Buildup'!AJ7:AL7)/3/2),0)</f>
        <v>2</v>
      </c>
      <c r="AP19" s="73">
        <f>ROUNDUP((SUM('Revenue Buildup'!AK7:AM7)/3/2),0)</f>
        <v>2</v>
      </c>
      <c r="AR19" s="19">
        <f t="shared" ref="AR19:AR22" si="17">E19*1.1*12</f>
        <v>1916640</v>
      </c>
      <c r="AS19" s="19">
        <f t="shared" ref="AS19:AS22" si="18">AR19*1.1</f>
        <v>2108304</v>
      </c>
      <c r="AU19" s="73">
        <f>ROUNDUP(('Revenue Buildup'!AS7/3/3),0)/2</f>
        <v>2.5</v>
      </c>
      <c r="AV19" s="73">
        <f>ROUNDUP(('Revenue Buildup'!AT7/3/3),0)/2</f>
        <v>3.5</v>
      </c>
      <c r="AW19" s="73"/>
      <c r="AX19" s="73"/>
      <c r="AY19" s="73"/>
    </row>
    <row r="20" spans="1:52" ht="14.45">
      <c r="A20" s="35" t="s">
        <v>169</v>
      </c>
      <c r="B20" s="62" t="s">
        <v>168</v>
      </c>
      <c r="C20" s="19">
        <v>100000</v>
      </c>
      <c r="D20" s="19">
        <f t="shared" ref="D20:E20" si="19">C20*1.1</f>
        <v>110000.00000000001</v>
      </c>
      <c r="E20" s="19">
        <f t="shared" si="19"/>
        <v>121000.00000000003</v>
      </c>
      <c r="G20" s="73">
        <f>ROUNDUP(('Revenue Buildup'!E7/2),0)</f>
        <v>1</v>
      </c>
      <c r="H20" s="73">
        <f>ROUNDUP(('Revenue Buildup'!F7/2),0)</f>
        <v>1</v>
      </c>
      <c r="I20" s="73">
        <f>ROUNDUP(('Revenue Buildup'!G7/2),0)</f>
        <v>1</v>
      </c>
      <c r="J20" s="73">
        <f>ROUNDUP((SUM('Revenue Buildup'!E7:G7)),0)/2</f>
        <v>1.5</v>
      </c>
      <c r="K20" s="73">
        <f>ROUNDUP((SUM('Revenue Buildup'!F7:H7)),0)/2</f>
        <v>1.5</v>
      </c>
      <c r="L20" s="73">
        <f>ROUNDUP((SUM('Revenue Buildup'!G7:I7)),0)/2</f>
        <v>2</v>
      </c>
      <c r="M20" s="73">
        <f>ROUNDUP((SUM('Revenue Buildup'!H7:J7)),0)/2</f>
        <v>2</v>
      </c>
      <c r="N20" s="73">
        <f>ROUNDUP((SUM('Revenue Buildup'!I7:K7)),0)/2</f>
        <v>2.5</v>
      </c>
      <c r="O20" s="73">
        <f>ROUNDUP((SUM('Revenue Buildup'!J7:L7)),0)/2</f>
        <v>2.5</v>
      </c>
      <c r="P20" s="73">
        <f>ROUNDUP((SUM('Revenue Buildup'!K7:M7)),0)/2</f>
        <v>2.5</v>
      </c>
      <c r="Q20" s="73">
        <f>ROUNDUP((SUM('Revenue Buildup'!L7:N7)),0)/2</f>
        <v>2.5</v>
      </c>
      <c r="R20" s="73">
        <f>ROUNDUP((SUM('Revenue Buildup'!M7:O7)),0)/2</f>
        <v>2.5</v>
      </c>
      <c r="S20" s="73">
        <f>ROUNDUP(((SUM('Revenue Buildup'!N7:P7))/2/2),0)</f>
        <v>2</v>
      </c>
      <c r="T20" s="73">
        <f>ROUNDUP(((SUM('Revenue Buildup'!O7:Q7))/2/2),0)</f>
        <v>2</v>
      </c>
      <c r="U20" s="73">
        <f>ROUNDUP(((SUM('Revenue Buildup'!P7:R7))/2/2),0)</f>
        <v>2</v>
      </c>
      <c r="V20" s="73">
        <f>ROUNDUP(((SUM('Revenue Buildup'!Q7:S7))/2/2),0)</f>
        <v>2</v>
      </c>
      <c r="W20" s="73">
        <f>ROUNDUP(((SUM('Revenue Buildup'!R7:T7))/2/2),0)</f>
        <v>2</v>
      </c>
      <c r="X20" s="73">
        <f>ROUNDUP(((SUM('Revenue Buildup'!S7:U7))/2/2),0)</f>
        <v>2</v>
      </c>
      <c r="Y20" s="73">
        <f>ROUNDUP(((SUM('Revenue Buildup'!T7:V7))/2/2),0)</f>
        <v>2</v>
      </c>
      <c r="Z20" s="73">
        <f>ROUNDUP(((SUM('Revenue Buildup'!U7:W7))/2/2),0)</f>
        <v>2</v>
      </c>
      <c r="AA20" s="73">
        <f>ROUNDUP(((SUM('Revenue Buildup'!V7:X7))/2/2),0)</f>
        <v>2</v>
      </c>
      <c r="AB20" s="73">
        <f>ROUNDUP(((SUM('Revenue Buildup'!W7:Y7))/2/2),0)</f>
        <v>2</v>
      </c>
      <c r="AC20" s="73">
        <f>ROUNDUP(((SUM('Revenue Buildup'!X7:Z7))/2/2),0)</f>
        <v>2</v>
      </c>
      <c r="AD20" s="73">
        <f>ROUNDUP(((SUM('Revenue Buildup'!Y7:AA7))/2/2),0)</f>
        <v>2</v>
      </c>
      <c r="AE20" s="73">
        <f>ROUNDUP(((SUM('Revenue Buildup'!Z7:AB7))/2/2),0)</f>
        <v>2</v>
      </c>
      <c r="AF20" s="73">
        <f>ROUNDUP(((SUM('Revenue Buildup'!AA7:AC7))/2/2),0)</f>
        <v>2</v>
      </c>
      <c r="AG20" s="73">
        <f>ROUNDUP(((SUM('Revenue Buildup'!AB7:AD7))/2/2),0)</f>
        <v>2</v>
      </c>
      <c r="AH20" s="73">
        <f>ROUNDUP(((SUM('Revenue Buildup'!AC7:AE7))/2/2),0)</f>
        <v>2</v>
      </c>
      <c r="AI20" s="73">
        <f>ROUNDUP(((SUM('Revenue Buildup'!AD7:AF7))/2/2),0)</f>
        <v>2</v>
      </c>
      <c r="AJ20" s="73">
        <f>ROUNDUP(((SUM('Revenue Buildup'!AE7:AG7))/2/2),0)</f>
        <v>2</v>
      </c>
      <c r="AK20" s="73">
        <f>ROUNDUP(((SUM('Revenue Buildup'!AF7:AH7))/2/2),0)</f>
        <v>2</v>
      </c>
      <c r="AL20" s="73">
        <f>ROUNDUP(((SUM('Revenue Buildup'!AG7:AI7))/2/2),0)</f>
        <v>2</v>
      </c>
      <c r="AM20" s="73">
        <f>ROUNDUP(((SUM('Revenue Buildup'!AH7:AJ7))/2/2),0)</f>
        <v>3</v>
      </c>
      <c r="AN20" s="73">
        <f>ROUNDUP(((SUM('Revenue Buildup'!AI7:AK7))/2/2),0)</f>
        <v>2</v>
      </c>
      <c r="AO20" s="73">
        <f>ROUNDUP(((SUM('Revenue Buildup'!AJ7:AL7))/2/2),0)</f>
        <v>2</v>
      </c>
      <c r="AP20" s="73">
        <f>ROUNDUP(((SUM('Revenue Buildup'!AK7:AM7))/2/2),0)</f>
        <v>2</v>
      </c>
      <c r="AR20" s="19">
        <f t="shared" si="17"/>
        <v>1597200.0000000005</v>
      </c>
      <c r="AS20" s="19">
        <f t="shared" si="18"/>
        <v>1756920.0000000007</v>
      </c>
      <c r="AU20" s="73">
        <f>ROUNDUP(('Revenue Buildup'!AS7/3/2),0)/2</f>
        <v>4</v>
      </c>
      <c r="AV20" s="73">
        <f>ROUNDUP(('Revenue Buildup'!AT7/3/2),0)/2</f>
        <v>5</v>
      </c>
      <c r="AW20" s="73"/>
      <c r="AX20" s="73"/>
      <c r="AY20" s="73"/>
    </row>
    <row r="21" spans="1:52" ht="15.75" customHeight="1">
      <c r="A21" s="57" t="s">
        <v>170</v>
      </c>
      <c r="B21" s="62" t="s">
        <v>168</v>
      </c>
      <c r="C21" s="19">
        <v>100000</v>
      </c>
      <c r="D21" s="19">
        <f t="shared" ref="D21:E21" si="20">C21*1.1</f>
        <v>110000.00000000001</v>
      </c>
      <c r="E21" s="19">
        <f t="shared" si="20"/>
        <v>121000.00000000003</v>
      </c>
      <c r="G21" s="73">
        <f>ROUNDUP(('Revenue Buildup'!E7*3),0)</f>
        <v>3</v>
      </c>
      <c r="H21" s="73">
        <f>ROUNDUP(('Revenue Buildup'!F7*3),0)</f>
        <v>3</v>
      </c>
      <c r="I21" s="73">
        <f>ROUNDUP(('Revenue Buildup'!G7*3),0)</f>
        <v>3</v>
      </c>
      <c r="J21" s="73">
        <f>ROUNDUP((SUM('Revenue Buildup'!E7:G7)*3),0)</f>
        <v>9</v>
      </c>
      <c r="K21" s="73">
        <f>ROUNDUP((SUM('Revenue Buildup'!F7:H7)*3),0)</f>
        <v>9</v>
      </c>
      <c r="L21" s="73">
        <f>ROUNDUP((SUM('Revenue Buildup'!G7:I7)*3),0)</f>
        <v>12</v>
      </c>
      <c r="M21" s="73">
        <f>ROUNDUP((SUM('Revenue Buildup'!H7:J7)*3),0)</f>
        <v>12</v>
      </c>
      <c r="N21" s="73">
        <f>ROUNDUP((SUM('Revenue Buildup'!I7:K7)*3),0)</f>
        <v>15</v>
      </c>
      <c r="O21" s="73">
        <f>ROUNDUP((SUM('Revenue Buildup'!J7:L7)*3),0)</f>
        <v>15</v>
      </c>
      <c r="P21" s="73">
        <f>ROUNDUP((SUM('Revenue Buildup'!K7:M7)*3),0)</f>
        <v>15</v>
      </c>
      <c r="Q21" s="73">
        <f>ROUNDUP((SUM('Revenue Buildup'!L7:N7)*3),0)</f>
        <v>15</v>
      </c>
      <c r="R21" s="73">
        <f>ROUNDUP((SUM('Revenue Buildup'!M7:O7)*3),0)</f>
        <v>15</v>
      </c>
      <c r="S21" s="73">
        <f>ROUNDUP((SUM('Revenue Buildup'!N7:P7)*3),0)/2</f>
        <v>9</v>
      </c>
      <c r="T21" s="73">
        <f>ROUNDUP((SUM('Revenue Buildup'!O7:Q7)*3),0)/2</f>
        <v>9</v>
      </c>
      <c r="U21" s="73">
        <f>ROUNDUP((SUM('Revenue Buildup'!P7:R7)*3),0)/2</f>
        <v>10.5</v>
      </c>
      <c r="V21" s="73">
        <f>ROUNDUP((SUM('Revenue Buildup'!Q7:S7)*3),0)/2</f>
        <v>9</v>
      </c>
      <c r="W21" s="73">
        <f>ROUNDUP((SUM('Revenue Buildup'!R7:T7)*3),0)/2</f>
        <v>9</v>
      </c>
      <c r="X21" s="73">
        <f>ROUNDUP((SUM('Revenue Buildup'!S7:U7)*3),0)/2</f>
        <v>7.5</v>
      </c>
      <c r="Y21" s="73">
        <f>ROUNDUP((SUM('Revenue Buildup'!T7:V7)*3),0)/2</f>
        <v>9</v>
      </c>
      <c r="Z21" s="73">
        <f>ROUNDUP((SUM('Revenue Buildup'!U7:W7)*3),0)/2</f>
        <v>9</v>
      </c>
      <c r="AA21" s="73">
        <f>ROUNDUP((SUM('Revenue Buildup'!V7:X7)*3),0)/2</f>
        <v>9</v>
      </c>
      <c r="AB21" s="73">
        <f>ROUNDUP((SUM('Revenue Buildup'!W7:Y7)*3),0)/2</f>
        <v>10.5</v>
      </c>
      <c r="AC21" s="73">
        <f>ROUNDUP((SUM('Revenue Buildup'!X7:Z7)*3),0)/2</f>
        <v>12</v>
      </c>
      <c r="AD21" s="73">
        <f>ROUNDUP((SUM('Revenue Buildup'!Y7:AA7)*3),0)/2</f>
        <v>12</v>
      </c>
      <c r="AE21" s="73">
        <f>ROUNDUP((SUM('Revenue Buildup'!Z7:AB7)*3),0)/2</f>
        <v>12</v>
      </c>
      <c r="AF21" s="73">
        <f>ROUNDUP((SUM('Revenue Buildup'!AA7:AC7)*3),0)/2</f>
        <v>12</v>
      </c>
      <c r="AG21" s="73">
        <f>ROUNDUP((SUM('Revenue Buildup'!AB7:AD7)*3),0)/2</f>
        <v>12</v>
      </c>
      <c r="AH21" s="73">
        <f>ROUNDUP((SUM('Revenue Buildup'!AC7:AE7)*3),0)/2</f>
        <v>12</v>
      </c>
      <c r="AI21" s="73">
        <f>ROUNDUP((SUM('Revenue Buildup'!AD7:AF7)*3),0)/2</f>
        <v>12</v>
      </c>
      <c r="AJ21" s="73">
        <f>ROUNDUP((SUM('Revenue Buildup'!AE7:AG7)*3),0)/2</f>
        <v>12</v>
      </c>
      <c r="AK21" s="73">
        <f>ROUNDUP((SUM('Revenue Buildup'!AF7:AH7)*3),0)/2</f>
        <v>12</v>
      </c>
      <c r="AL21" s="73">
        <f>ROUNDUP((SUM('Revenue Buildup'!AG7:AI7)*3),0)/2</f>
        <v>12</v>
      </c>
      <c r="AM21" s="73">
        <f>ROUNDUP((SUM('Revenue Buildup'!AH7:AJ7)*3),0)/2</f>
        <v>13.5</v>
      </c>
      <c r="AN21" s="73">
        <f>ROUNDUP((SUM('Revenue Buildup'!AI7:AK7)*3),0)/2</f>
        <v>12</v>
      </c>
      <c r="AO21" s="73">
        <f>ROUNDUP((SUM('Revenue Buildup'!AJ7:AL7)*3),0)/2</f>
        <v>12</v>
      </c>
      <c r="AP21" s="73">
        <f>ROUNDUP((SUM('Revenue Buildup'!AK7:AM7)*3),0)/2</f>
        <v>12</v>
      </c>
      <c r="AR21" s="19">
        <f t="shared" si="17"/>
        <v>1597200.0000000005</v>
      </c>
      <c r="AS21" s="19">
        <f t="shared" si="18"/>
        <v>1756920.0000000007</v>
      </c>
      <c r="AU21" s="73">
        <f>ROUNDUP(('Revenue Buildup'!AS7/3),0)*3/2</f>
        <v>22.5</v>
      </c>
      <c r="AV21" s="73">
        <f>ROUNDUP(('Revenue Buildup'!AT7/3*3),0)/2</f>
        <v>28.5</v>
      </c>
      <c r="AW21" s="73"/>
      <c r="AX21" s="73"/>
      <c r="AY21" s="73"/>
    </row>
    <row r="22" spans="1:52" ht="15.75" customHeight="1">
      <c r="A22" s="35" t="s">
        <v>171</v>
      </c>
      <c r="B22" s="62" t="s">
        <v>168</v>
      </c>
      <c r="C22" s="19">
        <v>80000</v>
      </c>
      <c r="D22" s="19">
        <f t="shared" ref="D22:E22" si="21">C22*1.1</f>
        <v>88000</v>
      </c>
      <c r="E22" s="19">
        <f t="shared" si="21"/>
        <v>96800.000000000015</v>
      </c>
      <c r="G22" s="73">
        <f>ROUNDUP(('Revenue Buildup'!E7),0)</f>
        <v>1</v>
      </c>
      <c r="H22" s="73">
        <f>ROUNDUP(('Revenue Buildup'!F7),0)</f>
        <v>1</v>
      </c>
      <c r="I22" s="73">
        <f>ROUNDUP(('Revenue Buildup'!G7/2),0)</f>
        <v>1</v>
      </c>
      <c r="J22" s="73">
        <f>ROUNDUP((SUM('Revenue Buildup'!E7:G7)),0)</f>
        <v>3</v>
      </c>
      <c r="K22" s="73">
        <f>ROUNDUP((SUM('Revenue Buildup'!F7:H7)),0)</f>
        <v>3</v>
      </c>
      <c r="L22" s="73">
        <f>ROUNDUP((SUM('Revenue Buildup'!G7:I7)),0)</f>
        <v>4</v>
      </c>
      <c r="M22" s="73">
        <f>ROUNDUP((SUM('Revenue Buildup'!H7:J7)),0)</f>
        <v>4</v>
      </c>
      <c r="N22" s="73">
        <f>ROUNDUP((SUM('Revenue Buildup'!I7:K7)),0)</f>
        <v>5</v>
      </c>
      <c r="O22" s="73">
        <f>ROUNDUP((SUM('Revenue Buildup'!J7:L7)),0)</f>
        <v>5</v>
      </c>
      <c r="P22" s="73">
        <f>ROUNDUP((SUM('Revenue Buildup'!K7:M7)),0)</f>
        <v>5</v>
      </c>
      <c r="Q22" s="73">
        <f>ROUNDUP((SUM('Revenue Buildup'!L7:N7)),0)</f>
        <v>5</v>
      </c>
      <c r="R22" s="73">
        <f>ROUNDUP((SUM('Revenue Buildup'!M7:O7)),0)</f>
        <v>5</v>
      </c>
      <c r="S22" s="73">
        <f>ROUNDUP((SUM('Revenue Buildup'!N7:P7)),0)/2</f>
        <v>3</v>
      </c>
      <c r="T22" s="73">
        <f>ROUNDUP((SUM('Revenue Buildup'!O7:Q7)),0)/2</f>
        <v>3</v>
      </c>
      <c r="U22" s="73">
        <f>ROUNDUP((SUM('Revenue Buildup'!P7:R7)),0)/2</f>
        <v>3.5</v>
      </c>
      <c r="V22" s="73">
        <f>ROUNDUP((SUM('Revenue Buildup'!Q7:S7)),0)/2</f>
        <v>3</v>
      </c>
      <c r="W22" s="73">
        <f>ROUNDUP((SUM('Revenue Buildup'!R7:T7)),0)/2</f>
        <v>3</v>
      </c>
      <c r="X22" s="73">
        <f>ROUNDUP((SUM('Revenue Buildup'!S7:U7)),0)/2</f>
        <v>2.5</v>
      </c>
      <c r="Y22" s="73">
        <f>ROUNDUP((SUM('Revenue Buildup'!T7:V7)),0)/2</f>
        <v>3</v>
      </c>
      <c r="Z22" s="73">
        <f>ROUNDUP((SUM('Revenue Buildup'!U7:W7)),0)/2</f>
        <v>3</v>
      </c>
      <c r="AA22" s="73">
        <f>ROUNDUP((SUM('Revenue Buildup'!V7:X7)),0)/2</f>
        <v>3</v>
      </c>
      <c r="AB22" s="73">
        <f>ROUNDUP((SUM('Revenue Buildup'!W7:Y7)),0)/2</f>
        <v>3.5</v>
      </c>
      <c r="AC22" s="73">
        <f>ROUNDUP((SUM('Revenue Buildup'!X7:Z7)),0)/2</f>
        <v>4</v>
      </c>
      <c r="AD22" s="73">
        <f>ROUNDUP((SUM('Revenue Buildup'!Y7:AA7)),0)/2</f>
        <v>4</v>
      </c>
      <c r="AE22" s="73">
        <f>ROUNDUP((SUM('Revenue Buildup'!Z7:AB7)),0)/2</f>
        <v>4</v>
      </c>
      <c r="AF22" s="73">
        <f>ROUNDUP((SUM('Revenue Buildup'!AA7:AC7)),0)/2</f>
        <v>4</v>
      </c>
      <c r="AG22" s="73">
        <f>ROUNDUP((SUM('Revenue Buildup'!AB7:AD7)),0)/2</f>
        <v>4</v>
      </c>
      <c r="AH22" s="73">
        <f>ROUNDUP((SUM('Revenue Buildup'!AC7:AE7)),0)/2</f>
        <v>4</v>
      </c>
      <c r="AI22" s="73">
        <f>ROUNDUP((SUM('Revenue Buildup'!AD7:AF7)),0)/2</f>
        <v>4</v>
      </c>
      <c r="AJ22" s="73">
        <f>ROUNDUP((SUM('Revenue Buildup'!AE7:AG7)),0)/2</f>
        <v>4</v>
      </c>
      <c r="AK22" s="73">
        <f>ROUNDUP((SUM('Revenue Buildup'!AF7:AH7)),0)/2</f>
        <v>4</v>
      </c>
      <c r="AL22" s="73">
        <f>ROUNDUP((SUM('Revenue Buildup'!AG7:AI7)),0)/2</f>
        <v>4</v>
      </c>
      <c r="AM22" s="73">
        <f>ROUNDUP((SUM('Revenue Buildup'!AH7:AJ7)),0)/2</f>
        <v>4.5</v>
      </c>
      <c r="AN22" s="73">
        <f>ROUNDUP((SUM('Revenue Buildup'!AI7:AK7)),0)/2</f>
        <v>4</v>
      </c>
      <c r="AO22" s="73">
        <f>ROUNDUP((SUM('Revenue Buildup'!AJ7:AL7)),0)/2</f>
        <v>4</v>
      </c>
      <c r="AP22" s="73">
        <f>ROUNDUP((SUM('Revenue Buildup'!AK7:AM7)),0)/2</f>
        <v>4</v>
      </c>
      <c r="AR22" s="19">
        <f t="shared" si="17"/>
        <v>1277760.0000000005</v>
      </c>
      <c r="AS22" s="19">
        <f t="shared" si="18"/>
        <v>1405536.0000000007</v>
      </c>
      <c r="AU22" s="73">
        <f>ROUNDUP(('Revenue Buildup'!AS7/3),0)/2</f>
        <v>7.5</v>
      </c>
      <c r="AV22" s="73">
        <f>ROUNDUP(('Revenue Buildup'!AT7/3),0)/2</f>
        <v>9.5</v>
      </c>
      <c r="AW22" s="73"/>
      <c r="AX22" s="73"/>
      <c r="AY22" s="73"/>
    </row>
    <row r="23" spans="1:52" ht="15.75" customHeight="1">
      <c r="D23" s="5" t="s">
        <v>164</v>
      </c>
      <c r="G23" s="7">
        <f>SUMPRODUCT($C$19:$C$22,G19:G22)</f>
        <v>600000</v>
      </c>
      <c r="H23" s="7">
        <f t="shared" ref="H23:R23" si="22">SUMPRODUCT($C$19:$C$22,H19:H22)</f>
        <v>600000</v>
      </c>
      <c r="I23" s="7">
        <f>SUMPRODUCT($C$19:$C$22,I19:I22)</f>
        <v>600000</v>
      </c>
      <c r="J23" s="7">
        <f>SUMPRODUCT($C$19:$C$22,J19:J22)</f>
        <v>1410000</v>
      </c>
      <c r="K23" s="7">
        <f t="shared" si="22"/>
        <v>1410000</v>
      </c>
      <c r="L23" s="7">
        <f t="shared" si="22"/>
        <v>1880000</v>
      </c>
      <c r="M23" s="7">
        <f t="shared" si="22"/>
        <v>1880000</v>
      </c>
      <c r="N23" s="7">
        <f t="shared" si="22"/>
        <v>2350000</v>
      </c>
      <c r="O23" s="7">
        <f t="shared" si="22"/>
        <v>2350000</v>
      </c>
      <c r="P23" s="7">
        <f t="shared" si="22"/>
        <v>2350000</v>
      </c>
      <c r="Q23" s="7">
        <f t="shared" si="22"/>
        <v>2350000</v>
      </c>
      <c r="R23" s="7">
        <f t="shared" si="22"/>
        <v>2350000</v>
      </c>
      <c r="S23" s="7">
        <f>SUMPRODUCT($D$19:$D$22,S19:S22)</f>
        <v>1606000</v>
      </c>
      <c r="T23" s="7">
        <f t="shared" ref="T23:AD23" si="23">SUMPRODUCT($D$19:$D$22,T19:T22)</f>
        <v>1606000</v>
      </c>
      <c r="U23" s="7">
        <f t="shared" si="23"/>
        <v>1947000.0000000002</v>
      </c>
      <c r="V23" s="7">
        <f t="shared" si="23"/>
        <v>1606000</v>
      </c>
      <c r="W23" s="7">
        <f t="shared" si="23"/>
        <v>1606000</v>
      </c>
      <c r="X23" s="7">
        <f t="shared" si="23"/>
        <v>1397000</v>
      </c>
      <c r="Y23" s="7">
        <f t="shared" si="23"/>
        <v>1606000</v>
      </c>
      <c r="Z23" s="7">
        <f t="shared" si="23"/>
        <v>1606000</v>
      </c>
      <c r="AA23" s="7">
        <f t="shared" si="23"/>
        <v>1606000</v>
      </c>
      <c r="AB23" s="7">
        <f t="shared" si="23"/>
        <v>1947000.0000000002</v>
      </c>
      <c r="AC23" s="7">
        <f t="shared" si="23"/>
        <v>2156000</v>
      </c>
      <c r="AD23" s="7">
        <f t="shared" si="23"/>
        <v>2156000</v>
      </c>
      <c r="AE23" s="7">
        <f t="shared" ref="AE23:AP23" si="24">SUMPRODUCT($E$19:$E$22,AE19:AE22)</f>
        <v>2371600.0000000005</v>
      </c>
      <c r="AF23" s="7">
        <f t="shared" si="24"/>
        <v>2371600.0000000005</v>
      </c>
      <c r="AG23" s="7">
        <f t="shared" si="24"/>
        <v>2371600.0000000005</v>
      </c>
      <c r="AH23" s="7">
        <f t="shared" si="24"/>
        <v>2371600.0000000005</v>
      </c>
      <c r="AI23" s="7">
        <f t="shared" si="24"/>
        <v>2371600.0000000005</v>
      </c>
      <c r="AJ23" s="7">
        <f t="shared" si="24"/>
        <v>2371600.0000000005</v>
      </c>
      <c r="AK23" s="7">
        <f t="shared" si="24"/>
        <v>2371600.0000000005</v>
      </c>
      <c r="AL23" s="7">
        <f t="shared" si="24"/>
        <v>2371600.0000000005</v>
      </c>
      <c r="AM23" s="7">
        <f t="shared" si="24"/>
        <v>2722500.0000000005</v>
      </c>
      <c r="AN23" s="7">
        <f t="shared" si="24"/>
        <v>2371600.0000000005</v>
      </c>
      <c r="AO23" s="7">
        <f t="shared" si="24"/>
        <v>2371600.0000000005</v>
      </c>
      <c r="AP23" s="7">
        <f t="shared" si="24"/>
        <v>2371600.0000000005</v>
      </c>
      <c r="AU23" s="7">
        <f>SUMPRODUCT(AR19:AR22,AU19:AU22)</f>
        <v>56700600.000000015</v>
      </c>
      <c r="AV23" s="7">
        <f t="shared" ref="AV23" si="25">SUMPRODUCT(AS19:AS22,AV19:AV22)</f>
        <v>79588476.00000003</v>
      </c>
    </row>
    <row r="24" spans="1:52" ht="15.75" customHeight="1">
      <c r="D24" s="5" t="s">
        <v>165</v>
      </c>
      <c r="G24" s="7">
        <f t="shared" ref="G24:AO24" si="26">SUM(G19:G22)</f>
        <v>6</v>
      </c>
      <c r="H24" s="7">
        <f t="shared" si="26"/>
        <v>6</v>
      </c>
      <c r="I24" s="7">
        <f t="shared" si="26"/>
        <v>6</v>
      </c>
      <c r="J24" s="7">
        <f t="shared" si="26"/>
        <v>14.5</v>
      </c>
      <c r="K24" s="7">
        <f t="shared" si="26"/>
        <v>14.5</v>
      </c>
      <c r="L24" s="7">
        <f t="shared" si="26"/>
        <v>19.333333333333332</v>
      </c>
      <c r="M24" s="7">
        <f t="shared" si="26"/>
        <v>19.333333333333332</v>
      </c>
      <c r="N24" s="7">
        <f t="shared" si="26"/>
        <v>24.166666666666668</v>
      </c>
      <c r="O24" s="7">
        <f t="shared" si="26"/>
        <v>24.166666666666668</v>
      </c>
      <c r="P24" s="7">
        <f t="shared" si="26"/>
        <v>24.166666666666668</v>
      </c>
      <c r="Q24" s="7">
        <f t="shared" si="26"/>
        <v>24.166666666666668</v>
      </c>
      <c r="R24" s="7">
        <f t="shared" si="26"/>
        <v>24.166666666666668</v>
      </c>
      <c r="S24" s="7">
        <f>SUM(S19:S22)</f>
        <v>15</v>
      </c>
      <c r="T24" s="7">
        <f t="shared" si="26"/>
        <v>15</v>
      </c>
      <c r="U24" s="7">
        <f t="shared" si="26"/>
        <v>18</v>
      </c>
      <c r="V24" s="7">
        <f t="shared" si="26"/>
        <v>15</v>
      </c>
      <c r="W24" s="7">
        <f t="shared" si="26"/>
        <v>15</v>
      </c>
      <c r="X24" s="7">
        <f t="shared" si="26"/>
        <v>13</v>
      </c>
      <c r="Y24" s="7">
        <f t="shared" si="26"/>
        <v>15</v>
      </c>
      <c r="Z24" s="7">
        <f t="shared" si="26"/>
        <v>15</v>
      </c>
      <c r="AA24" s="7">
        <f t="shared" si="26"/>
        <v>15</v>
      </c>
      <c r="AB24" s="7">
        <f t="shared" si="26"/>
        <v>18</v>
      </c>
      <c r="AC24" s="7">
        <f t="shared" si="26"/>
        <v>20</v>
      </c>
      <c r="AD24" s="7">
        <f t="shared" si="26"/>
        <v>20</v>
      </c>
      <c r="AE24" s="7">
        <f t="shared" si="26"/>
        <v>20</v>
      </c>
      <c r="AF24" s="7">
        <f t="shared" si="26"/>
        <v>20</v>
      </c>
      <c r="AG24" s="7">
        <f t="shared" si="26"/>
        <v>20</v>
      </c>
      <c r="AH24" s="7">
        <f t="shared" si="26"/>
        <v>20</v>
      </c>
      <c r="AI24" s="7">
        <f t="shared" si="26"/>
        <v>20</v>
      </c>
      <c r="AJ24" s="7">
        <f t="shared" si="26"/>
        <v>20</v>
      </c>
      <c r="AK24" s="7">
        <f t="shared" si="26"/>
        <v>20</v>
      </c>
      <c r="AL24" s="7">
        <f t="shared" si="26"/>
        <v>20</v>
      </c>
      <c r="AM24" s="7">
        <f t="shared" si="26"/>
        <v>23</v>
      </c>
      <c r="AN24" s="7">
        <f t="shared" si="26"/>
        <v>20</v>
      </c>
      <c r="AO24" s="7">
        <f t="shared" si="26"/>
        <v>20</v>
      </c>
      <c r="AP24" s="7">
        <f>SUM(AP19:AP22)</f>
        <v>20</v>
      </c>
      <c r="AQ24" s="7"/>
      <c r="AR24" s="7"/>
      <c r="AS24" s="7"/>
      <c r="AT24" s="7"/>
      <c r="AU24" s="7">
        <f t="shared" ref="AU24:AV24" si="27">SUM(AU19:AU22)</f>
        <v>36.5</v>
      </c>
      <c r="AV24" s="7">
        <f t="shared" si="27"/>
        <v>46.5</v>
      </c>
    </row>
    <row r="25" spans="1:52" ht="15.75" customHeight="1">
      <c r="D25" s="5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U25" s="7"/>
      <c r="AV25" s="7"/>
    </row>
    <row r="26" spans="1:52" ht="15.75" customHeight="1">
      <c r="A26" s="56" t="s">
        <v>172</v>
      </c>
      <c r="B26" s="62" t="s">
        <v>173</v>
      </c>
      <c r="C26" s="19">
        <v>120000</v>
      </c>
      <c r="D26" s="19">
        <f t="shared" ref="D26:E27" si="28">C26*1.1</f>
        <v>132000</v>
      </c>
      <c r="E26" s="19">
        <f t="shared" si="28"/>
        <v>145200</v>
      </c>
      <c r="G26" s="62">
        <v>4</v>
      </c>
      <c r="H26" s="62">
        <v>4</v>
      </c>
      <c r="I26" s="62">
        <v>4</v>
      </c>
      <c r="J26" s="62">
        <v>4</v>
      </c>
      <c r="K26" s="62">
        <v>4</v>
      </c>
      <c r="L26" s="62">
        <v>4</v>
      </c>
      <c r="M26" s="62">
        <v>4</v>
      </c>
      <c r="N26" s="62">
        <v>4</v>
      </c>
      <c r="O26" s="62">
        <v>4</v>
      </c>
      <c r="P26" s="62">
        <v>4</v>
      </c>
      <c r="Q26" s="62">
        <v>4</v>
      </c>
      <c r="R26" s="62">
        <v>4</v>
      </c>
      <c r="S26" s="62">
        <v>4</v>
      </c>
      <c r="T26" s="62">
        <v>4</v>
      </c>
      <c r="U26" s="62">
        <v>4</v>
      </c>
      <c r="V26" s="62">
        <v>4</v>
      </c>
      <c r="W26" s="62">
        <v>4</v>
      </c>
      <c r="X26" s="62">
        <v>4</v>
      </c>
      <c r="Y26" s="62">
        <v>4</v>
      </c>
      <c r="Z26" s="62">
        <v>4</v>
      </c>
      <c r="AA26" s="62">
        <v>4</v>
      </c>
      <c r="AB26" s="62">
        <v>4</v>
      </c>
      <c r="AC26" s="62">
        <v>4</v>
      </c>
      <c r="AD26" s="62">
        <v>4</v>
      </c>
      <c r="AE26" s="62">
        <v>4</v>
      </c>
      <c r="AF26" s="62">
        <v>4</v>
      </c>
      <c r="AG26" s="62">
        <v>4</v>
      </c>
      <c r="AH26" s="62">
        <v>4</v>
      </c>
      <c r="AI26" s="62">
        <v>4</v>
      </c>
      <c r="AJ26" s="62">
        <v>4</v>
      </c>
      <c r="AK26" s="62">
        <v>4</v>
      </c>
      <c r="AL26" s="62">
        <v>4</v>
      </c>
      <c r="AM26" s="62">
        <v>4</v>
      </c>
      <c r="AN26" s="62">
        <v>4</v>
      </c>
      <c r="AO26" s="62">
        <v>4</v>
      </c>
      <c r="AP26" s="62">
        <v>4</v>
      </c>
      <c r="AR26" s="19">
        <f t="shared" ref="AR26:AR28" si="29">E26*1.1*12</f>
        <v>1916640</v>
      </c>
      <c r="AS26" s="19">
        <f t="shared" ref="AS26:AS28" si="30">AR26*1.1</f>
        <v>2108304</v>
      </c>
      <c r="AU26" s="62">
        <v>4</v>
      </c>
      <c r="AV26" s="62">
        <v>4</v>
      </c>
      <c r="AW26" s="62"/>
      <c r="AX26" s="62"/>
      <c r="AY26" s="62"/>
    </row>
    <row r="27" spans="1:52" ht="15.75" customHeight="1">
      <c r="A27" s="56" t="s">
        <v>174</v>
      </c>
      <c r="B27" s="62" t="s">
        <v>173</v>
      </c>
      <c r="C27" s="19">
        <v>100000</v>
      </c>
      <c r="D27" s="19">
        <f t="shared" si="28"/>
        <v>110000.00000000001</v>
      </c>
      <c r="E27" s="19">
        <f t="shared" si="28"/>
        <v>121000.00000000003</v>
      </c>
      <c r="G27" s="62">
        <v>3</v>
      </c>
      <c r="H27" s="62">
        <v>3</v>
      </c>
      <c r="I27" s="62">
        <v>3</v>
      </c>
      <c r="J27" s="62">
        <v>3</v>
      </c>
      <c r="K27" s="62">
        <v>3</v>
      </c>
      <c r="L27" s="62">
        <v>3</v>
      </c>
      <c r="M27" s="62">
        <v>3</v>
      </c>
      <c r="N27" s="62">
        <v>3</v>
      </c>
      <c r="O27" s="62">
        <v>3</v>
      </c>
      <c r="P27" s="62">
        <v>3</v>
      </c>
      <c r="Q27" s="62">
        <v>3</v>
      </c>
      <c r="R27" s="62">
        <v>3</v>
      </c>
      <c r="S27" s="62">
        <v>3</v>
      </c>
      <c r="T27" s="62">
        <v>3</v>
      </c>
      <c r="U27" s="62">
        <v>3</v>
      </c>
      <c r="V27" s="62">
        <v>3</v>
      </c>
      <c r="W27" s="62">
        <v>3</v>
      </c>
      <c r="X27" s="62">
        <v>3</v>
      </c>
      <c r="Y27" s="62">
        <v>3</v>
      </c>
      <c r="Z27" s="62">
        <v>3</v>
      </c>
      <c r="AA27" s="62">
        <v>3</v>
      </c>
      <c r="AB27" s="62">
        <v>3</v>
      </c>
      <c r="AC27" s="62">
        <v>3</v>
      </c>
      <c r="AD27" s="62">
        <v>3</v>
      </c>
      <c r="AE27" s="62">
        <v>3</v>
      </c>
      <c r="AF27" s="62">
        <v>3</v>
      </c>
      <c r="AG27" s="62">
        <v>3</v>
      </c>
      <c r="AH27" s="62">
        <v>3</v>
      </c>
      <c r="AI27" s="62">
        <v>3</v>
      </c>
      <c r="AJ27" s="62">
        <v>3</v>
      </c>
      <c r="AK27" s="62">
        <v>3</v>
      </c>
      <c r="AL27" s="62">
        <v>3</v>
      </c>
      <c r="AM27" s="62">
        <v>3</v>
      </c>
      <c r="AN27" s="62">
        <v>3</v>
      </c>
      <c r="AO27" s="62">
        <v>3</v>
      </c>
      <c r="AP27" s="62">
        <v>3</v>
      </c>
      <c r="AR27" s="19">
        <f t="shared" ref="AR27" si="31">E27*1.1*12</f>
        <v>1597200.0000000005</v>
      </c>
      <c r="AS27" s="19">
        <f t="shared" ref="AS27" si="32">AR27*1.1</f>
        <v>1756920.0000000007</v>
      </c>
      <c r="AU27" s="62">
        <v>3</v>
      </c>
      <c r="AV27" s="62">
        <v>3</v>
      </c>
      <c r="AW27" s="62"/>
      <c r="AX27" s="62"/>
      <c r="AY27" s="62"/>
    </row>
    <row r="28" spans="1:52" ht="15.75" customHeight="1">
      <c r="A28" s="56" t="s">
        <v>175</v>
      </c>
      <c r="B28" s="62" t="s">
        <v>173</v>
      </c>
      <c r="C28" s="19">
        <v>100000</v>
      </c>
      <c r="D28" s="19">
        <f t="shared" ref="D28:E28" si="33">C28*1.1</f>
        <v>110000.00000000001</v>
      </c>
      <c r="E28" s="19">
        <f t="shared" si="33"/>
        <v>121000.00000000003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3</v>
      </c>
      <c r="O28" s="62">
        <v>3</v>
      </c>
      <c r="P28" s="62">
        <v>3</v>
      </c>
      <c r="Q28" s="62">
        <v>3</v>
      </c>
      <c r="R28" s="62">
        <v>3</v>
      </c>
      <c r="S28" s="62">
        <v>3</v>
      </c>
      <c r="T28" s="62">
        <v>3</v>
      </c>
      <c r="U28" s="62">
        <v>3</v>
      </c>
      <c r="V28" s="62">
        <v>3</v>
      </c>
      <c r="W28" s="62">
        <v>3</v>
      </c>
      <c r="X28" s="62">
        <v>3</v>
      </c>
      <c r="Y28" s="62">
        <v>3</v>
      </c>
      <c r="Z28" s="62">
        <v>3</v>
      </c>
      <c r="AA28" s="62">
        <v>3</v>
      </c>
      <c r="AB28" s="62">
        <v>3</v>
      </c>
      <c r="AC28" s="62">
        <v>3</v>
      </c>
      <c r="AD28" s="62">
        <v>3</v>
      </c>
      <c r="AE28" s="62">
        <v>3</v>
      </c>
      <c r="AF28" s="62">
        <v>3</v>
      </c>
      <c r="AG28" s="62">
        <v>3</v>
      </c>
      <c r="AH28" s="62">
        <v>3</v>
      </c>
      <c r="AI28" s="62">
        <v>3</v>
      </c>
      <c r="AJ28" s="62">
        <v>3</v>
      </c>
      <c r="AK28" s="62">
        <v>3</v>
      </c>
      <c r="AL28" s="62">
        <v>3</v>
      </c>
      <c r="AM28" s="62">
        <v>3</v>
      </c>
      <c r="AN28" s="62">
        <v>3</v>
      </c>
      <c r="AO28" s="62">
        <v>3</v>
      </c>
      <c r="AP28" s="62">
        <v>3</v>
      </c>
      <c r="AR28" s="19">
        <f t="shared" si="29"/>
        <v>1597200.0000000005</v>
      </c>
      <c r="AS28" s="19">
        <f t="shared" si="30"/>
        <v>1756920.0000000007</v>
      </c>
      <c r="AU28" s="62">
        <v>3</v>
      </c>
      <c r="AV28" s="62">
        <v>3</v>
      </c>
      <c r="AW28" s="62"/>
      <c r="AX28" s="62"/>
      <c r="AY28" s="62"/>
    </row>
    <row r="29" spans="1:52" ht="15.75" customHeight="1">
      <c r="C29" s="7"/>
      <c r="D29" s="5" t="s">
        <v>164</v>
      </c>
      <c r="G29" s="7">
        <f t="shared" ref="G29:R29" si="34">SUMPRODUCT($C$26:$C$28,G26:G28)</f>
        <v>780000</v>
      </c>
      <c r="H29" s="7">
        <f t="shared" si="34"/>
        <v>780000</v>
      </c>
      <c r="I29" s="7">
        <f t="shared" si="34"/>
        <v>780000</v>
      </c>
      <c r="J29" s="7">
        <f t="shared" si="34"/>
        <v>780000</v>
      </c>
      <c r="K29" s="7">
        <f t="shared" si="34"/>
        <v>780000</v>
      </c>
      <c r="L29" s="7">
        <f t="shared" si="34"/>
        <v>780000</v>
      </c>
      <c r="M29" s="7">
        <f t="shared" si="34"/>
        <v>780000</v>
      </c>
      <c r="N29" s="7">
        <f t="shared" si="34"/>
        <v>1080000</v>
      </c>
      <c r="O29" s="7">
        <f t="shared" si="34"/>
        <v>1080000</v>
      </c>
      <c r="P29" s="7">
        <f t="shared" si="34"/>
        <v>1080000</v>
      </c>
      <c r="Q29" s="7">
        <f t="shared" si="34"/>
        <v>1080000</v>
      </c>
      <c r="R29" s="7">
        <f t="shared" si="34"/>
        <v>1080000</v>
      </c>
      <c r="S29" s="7">
        <f t="shared" ref="S29:AD29" si="35">SUMPRODUCT($D$26:$D$28,S26:S28)</f>
        <v>1188000</v>
      </c>
      <c r="T29" s="7">
        <f t="shared" si="35"/>
        <v>1188000</v>
      </c>
      <c r="U29" s="7">
        <f t="shared" si="35"/>
        <v>1188000</v>
      </c>
      <c r="V29" s="7">
        <f t="shared" si="35"/>
        <v>1188000</v>
      </c>
      <c r="W29" s="7">
        <f t="shared" si="35"/>
        <v>1188000</v>
      </c>
      <c r="X29" s="7">
        <f t="shared" si="35"/>
        <v>1188000</v>
      </c>
      <c r="Y29" s="7">
        <f t="shared" si="35"/>
        <v>1188000</v>
      </c>
      <c r="Z29" s="7">
        <f t="shared" si="35"/>
        <v>1188000</v>
      </c>
      <c r="AA29" s="7">
        <f t="shared" si="35"/>
        <v>1188000</v>
      </c>
      <c r="AB29" s="7">
        <f t="shared" si="35"/>
        <v>1188000</v>
      </c>
      <c r="AC29" s="7">
        <f t="shared" si="35"/>
        <v>1188000</v>
      </c>
      <c r="AD29" s="7">
        <f t="shared" si="35"/>
        <v>1188000</v>
      </c>
      <c r="AE29" s="7">
        <f t="shared" ref="AE29:AP29" si="36">SUMPRODUCT($E$26:$E$28,AE26:AE28)</f>
        <v>1306800.0000000002</v>
      </c>
      <c r="AF29" s="7">
        <f t="shared" si="36"/>
        <v>1306800.0000000002</v>
      </c>
      <c r="AG29" s="7">
        <f t="shared" si="36"/>
        <v>1306800.0000000002</v>
      </c>
      <c r="AH29" s="7">
        <f t="shared" si="36"/>
        <v>1306800.0000000002</v>
      </c>
      <c r="AI29" s="7">
        <f t="shared" si="36"/>
        <v>1306800.0000000002</v>
      </c>
      <c r="AJ29" s="7">
        <f t="shared" si="36"/>
        <v>1306800.0000000002</v>
      </c>
      <c r="AK29" s="7">
        <f t="shared" si="36"/>
        <v>1306800.0000000002</v>
      </c>
      <c r="AL29" s="7">
        <f t="shared" si="36"/>
        <v>1306800.0000000002</v>
      </c>
      <c r="AM29" s="7">
        <f t="shared" si="36"/>
        <v>1306800.0000000002</v>
      </c>
      <c r="AN29" s="7">
        <f t="shared" si="36"/>
        <v>1306800.0000000002</v>
      </c>
      <c r="AO29" s="7">
        <f t="shared" si="36"/>
        <v>1306800.0000000002</v>
      </c>
      <c r="AP29" s="7">
        <f t="shared" si="36"/>
        <v>1306800.0000000002</v>
      </c>
      <c r="AU29" s="7">
        <f t="shared" ref="AU29:AV29" si="37">SUMPRODUCT(AR26:AR28,AU26:AU28)</f>
        <v>17249760.000000004</v>
      </c>
      <c r="AV29" s="7">
        <f t="shared" si="37"/>
        <v>18974736.000000004</v>
      </c>
      <c r="AW29" s="7"/>
      <c r="AX29" s="7"/>
      <c r="AY29" s="7"/>
    </row>
    <row r="30" spans="1:52" ht="15.75" customHeight="1">
      <c r="D30" s="5" t="s">
        <v>165</v>
      </c>
      <c r="G30" s="62">
        <f t="shared" ref="G30:AP30" si="38">SUM(G26:G28)</f>
        <v>7</v>
      </c>
      <c r="H30" s="62">
        <f t="shared" si="38"/>
        <v>7</v>
      </c>
      <c r="I30" s="62">
        <f t="shared" si="38"/>
        <v>7</v>
      </c>
      <c r="J30" s="62">
        <f t="shared" si="38"/>
        <v>7</v>
      </c>
      <c r="K30" s="62">
        <f t="shared" si="38"/>
        <v>7</v>
      </c>
      <c r="L30" s="62">
        <f t="shared" si="38"/>
        <v>7</v>
      </c>
      <c r="M30" s="62">
        <f t="shared" si="38"/>
        <v>7</v>
      </c>
      <c r="N30" s="62">
        <f t="shared" si="38"/>
        <v>10</v>
      </c>
      <c r="O30" s="62">
        <f t="shared" si="38"/>
        <v>10</v>
      </c>
      <c r="P30" s="62">
        <f t="shared" si="38"/>
        <v>10</v>
      </c>
      <c r="Q30" s="62">
        <f t="shared" si="38"/>
        <v>10</v>
      </c>
      <c r="R30" s="62">
        <f t="shared" si="38"/>
        <v>10</v>
      </c>
      <c r="S30" s="62">
        <f t="shared" si="38"/>
        <v>10</v>
      </c>
      <c r="T30" s="62">
        <f t="shared" si="38"/>
        <v>10</v>
      </c>
      <c r="U30" s="62">
        <f t="shared" si="38"/>
        <v>10</v>
      </c>
      <c r="V30" s="62">
        <f t="shared" si="38"/>
        <v>10</v>
      </c>
      <c r="W30" s="62">
        <f t="shared" si="38"/>
        <v>10</v>
      </c>
      <c r="X30" s="62">
        <f t="shared" si="38"/>
        <v>10</v>
      </c>
      <c r="Y30" s="62">
        <f t="shared" si="38"/>
        <v>10</v>
      </c>
      <c r="Z30" s="62">
        <f t="shared" si="38"/>
        <v>10</v>
      </c>
      <c r="AA30" s="62">
        <f t="shared" si="38"/>
        <v>10</v>
      </c>
      <c r="AB30" s="62">
        <f t="shared" si="38"/>
        <v>10</v>
      </c>
      <c r="AC30" s="62">
        <f t="shared" si="38"/>
        <v>10</v>
      </c>
      <c r="AD30" s="62">
        <f t="shared" si="38"/>
        <v>10</v>
      </c>
      <c r="AE30" s="62">
        <f t="shared" si="38"/>
        <v>10</v>
      </c>
      <c r="AF30" s="62">
        <f t="shared" si="38"/>
        <v>10</v>
      </c>
      <c r="AG30" s="62">
        <f t="shared" si="38"/>
        <v>10</v>
      </c>
      <c r="AH30" s="62">
        <f t="shared" si="38"/>
        <v>10</v>
      </c>
      <c r="AI30" s="62">
        <f t="shared" si="38"/>
        <v>10</v>
      </c>
      <c r="AJ30" s="62">
        <f t="shared" si="38"/>
        <v>10</v>
      </c>
      <c r="AK30" s="62">
        <f t="shared" si="38"/>
        <v>10</v>
      </c>
      <c r="AL30" s="62">
        <f t="shared" si="38"/>
        <v>10</v>
      </c>
      <c r="AM30" s="62">
        <f t="shared" si="38"/>
        <v>10</v>
      </c>
      <c r="AN30" s="62">
        <f t="shared" si="38"/>
        <v>10</v>
      </c>
      <c r="AO30" s="62">
        <f t="shared" si="38"/>
        <v>10</v>
      </c>
      <c r="AP30" s="62">
        <f t="shared" si="38"/>
        <v>10</v>
      </c>
      <c r="AU30" s="62">
        <f t="shared" ref="AU30:AV30" si="39">SUM(AU26:AU28)</f>
        <v>10</v>
      </c>
      <c r="AV30" s="62">
        <f t="shared" si="39"/>
        <v>10</v>
      </c>
      <c r="AW30" s="73"/>
      <c r="AX30" s="73"/>
      <c r="AY30" s="73"/>
      <c r="AZ30" s="62"/>
    </row>
    <row r="31" spans="1:52" ht="15.75" customHeight="1">
      <c r="AR31" s="107" t="s">
        <v>155</v>
      </c>
      <c r="AS31" s="113"/>
    </row>
    <row r="32" spans="1:52" ht="15.75" customHeight="1">
      <c r="A32" s="81" t="s">
        <v>176</v>
      </c>
      <c r="B32" s="81" t="s">
        <v>157</v>
      </c>
      <c r="C32" s="80" t="s">
        <v>4</v>
      </c>
      <c r="D32" s="80" t="s">
        <v>5</v>
      </c>
      <c r="E32" s="80" t="s">
        <v>6</v>
      </c>
      <c r="AR32" s="80" t="s">
        <v>7</v>
      </c>
      <c r="AS32" s="80" t="s">
        <v>8</v>
      </c>
    </row>
    <row r="33" spans="1:48" ht="15.75" customHeight="1">
      <c r="A33" s="35" t="s">
        <v>177</v>
      </c>
      <c r="B33" s="62" t="s">
        <v>161</v>
      </c>
      <c r="C33" s="19">
        <v>50000</v>
      </c>
      <c r="D33" s="19">
        <f t="shared" ref="D33:E33" si="40">C33*1.1</f>
        <v>55000.000000000007</v>
      </c>
      <c r="E33" s="19">
        <f t="shared" si="40"/>
        <v>60500.000000000015</v>
      </c>
      <c r="G33" s="62">
        <f>IF(SUM('Revenue Buildup'!E9:G9)&gt;10,2,1)</f>
        <v>1</v>
      </c>
      <c r="H33" s="62">
        <f>IF(SUM('Revenue Buildup'!F9:H9)&gt;10,2,1)</f>
        <v>1</v>
      </c>
      <c r="I33" s="62">
        <f>IF(SUM('Revenue Buildup'!G9:I9)&gt;10,2,1)</f>
        <v>1</v>
      </c>
      <c r="J33" s="62">
        <f>IF(SUM('Revenue Buildup'!H9:J9)&gt;10,2,1)</f>
        <v>1</v>
      </c>
      <c r="K33" s="62">
        <f>IF(SUM('Revenue Buildup'!I9:K9)&gt;10,2,1)</f>
        <v>1</v>
      </c>
      <c r="L33" s="62">
        <f>IF(SUM('Revenue Buildup'!J9:L9)&gt;10,2,1)</f>
        <v>1</v>
      </c>
      <c r="M33" s="62">
        <f>IF(SUM('Revenue Buildup'!K9:M9)&gt;10,2,1)</f>
        <v>2</v>
      </c>
      <c r="N33" s="62">
        <f>IF(SUM('Revenue Buildup'!L9:N9)&gt;10,2,1)</f>
        <v>2</v>
      </c>
      <c r="O33" s="62">
        <f>IF(SUM('Revenue Buildup'!M9:O9)&gt;10,2,1)</f>
        <v>2</v>
      </c>
      <c r="P33" s="62">
        <f>IF(SUM('Revenue Buildup'!N9:P9)&gt;10,2,1)</f>
        <v>2</v>
      </c>
      <c r="Q33" s="62">
        <f>IF(SUM('Revenue Buildup'!O9:Q9)&gt;10,2,1)</f>
        <v>2</v>
      </c>
      <c r="R33" s="62">
        <f>IF(SUM('Revenue Buildup'!P9:R9)&gt;10,2,1)</f>
        <v>2</v>
      </c>
      <c r="S33" s="62">
        <f>IF(SUM('Revenue Buildup'!Q9:S9)&gt;10,2,1)</f>
        <v>2</v>
      </c>
      <c r="T33" s="62">
        <f>IF(SUM('Revenue Buildup'!R9:T9)&gt;10,2,1)</f>
        <v>2</v>
      </c>
      <c r="U33" s="62">
        <f>IF(SUM('Revenue Buildup'!S9:U9)&gt;10,2,1)</f>
        <v>2</v>
      </c>
      <c r="V33" s="62">
        <f>IF(SUM('Revenue Buildup'!T9:V9)&gt;10,2,1)</f>
        <v>2</v>
      </c>
      <c r="W33" s="62">
        <f>IF(SUM('Revenue Buildup'!U9:W9)&gt;10,2,1)</f>
        <v>2</v>
      </c>
      <c r="X33" s="62">
        <f>IF(SUM('Revenue Buildup'!V9:X9)&gt;10,2,1)</f>
        <v>2</v>
      </c>
      <c r="Y33" s="62">
        <f>IF(SUM('Revenue Buildup'!W9:Y9)&gt;10,2,1)</f>
        <v>2</v>
      </c>
      <c r="Z33" s="62">
        <f>IF(SUM('Revenue Buildup'!X9:Z9)&gt;10,2,1)</f>
        <v>2</v>
      </c>
      <c r="AA33" s="62">
        <f>IF(SUM('Revenue Buildup'!Y9:AA9)&gt;10,2,1)</f>
        <v>2</v>
      </c>
      <c r="AB33" s="62">
        <f>IF(SUM('Revenue Buildup'!Z9:AB9)&gt;10,2,1)</f>
        <v>2</v>
      </c>
      <c r="AC33" s="62">
        <f>IF(SUM('Revenue Buildup'!AA9:AC9)&gt;10,2,1)</f>
        <v>2</v>
      </c>
      <c r="AD33" s="62">
        <f>IF(SUM('Revenue Buildup'!AB9:AD9)&gt;10,2,1)</f>
        <v>2</v>
      </c>
      <c r="AE33" s="62">
        <f>IF(SUM('Revenue Buildup'!AC9:AE9)&gt;10,2,1)</f>
        <v>2</v>
      </c>
      <c r="AF33" s="62">
        <f>IF(SUM('Revenue Buildup'!AD9:AF9)&gt;10,2,1)</f>
        <v>2</v>
      </c>
      <c r="AG33" s="62">
        <f>IF(SUM('Revenue Buildup'!AE9:AG9)&gt;10,2,1)</f>
        <v>2</v>
      </c>
      <c r="AH33" s="62">
        <f>IF(SUM('Revenue Buildup'!AF9:AH9)&gt;10,2,1)</f>
        <v>2</v>
      </c>
      <c r="AI33" s="62">
        <f>IF(SUM('Revenue Buildup'!AG9:AI9)&gt;10,2,1)</f>
        <v>2</v>
      </c>
      <c r="AJ33" s="62">
        <f>IF(SUM('Revenue Buildup'!AH9:AJ9)&gt;10,2,1)</f>
        <v>2</v>
      </c>
      <c r="AK33" s="62">
        <f>IF(SUM('Revenue Buildup'!AI9:AK9)&gt;10,2,1)</f>
        <v>2</v>
      </c>
      <c r="AL33" s="62">
        <f>IF(SUM('Revenue Buildup'!AJ9:AL9)&gt;10,2,1)</f>
        <v>2</v>
      </c>
      <c r="AM33" s="62">
        <f>IF(SUM('Revenue Buildup'!AK9:AM9)&gt;10,2,1)</f>
        <v>2</v>
      </c>
      <c r="AN33" s="62">
        <f>IF(SUM('Revenue Buildup'!AL9:AN9)&gt;10,2,1)</f>
        <v>2</v>
      </c>
      <c r="AO33" s="62">
        <f>IF(SUM('Revenue Buildup'!AM9:AO9)&gt;10,2,1)</f>
        <v>2</v>
      </c>
      <c r="AP33" s="62">
        <f>IF(SUM('Revenue Buildup'!AN9:AP9)&gt;10,2,1)</f>
        <v>2</v>
      </c>
      <c r="AR33" s="19">
        <f t="shared" ref="AR33:AR34" si="41">E33*1.1*12</f>
        <v>798600.00000000023</v>
      </c>
      <c r="AS33" s="19">
        <f t="shared" ref="AS33:AS34" si="42">AR33*1.1</f>
        <v>878460.00000000035</v>
      </c>
      <c r="AU33" s="62">
        <v>3</v>
      </c>
      <c r="AV33" s="62">
        <v>3</v>
      </c>
    </row>
    <row r="34" spans="1:48" ht="15.75" customHeight="1">
      <c r="A34" s="62" t="s">
        <v>178</v>
      </c>
      <c r="B34" s="62" t="s">
        <v>161</v>
      </c>
      <c r="C34" s="19">
        <v>50000</v>
      </c>
      <c r="D34" s="19">
        <f t="shared" ref="D34:E34" si="43">C34*1.1</f>
        <v>55000.000000000007</v>
      </c>
      <c r="E34" s="19">
        <f t="shared" si="43"/>
        <v>60500.000000000015</v>
      </c>
      <c r="G34" s="62">
        <f>IF('Revenue Buildup'!E9&gt;10,2,1)</f>
        <v>1</v>
      </c>
      <c r="H34" s="62">
        <f>IF('Revenue Buildup'!F9&gt;10,2,1)</f>
        <v>1</v>
      </c>
      <c r="I34" s="62">
        <f>IF('Revenue Buildup'!G9&gt;10,2,1)</f>
        <v>1</v>
      </c>
      <c r="J34" s="62">
        <f>IF('Revenue Buildup'!H9&gt;10,2,1)</f>
        <v>1</v>
      </c>
      <c r="K34" s="62">
        <f>IF('Revenue Buildup'!I9&gt;10,2,1)</f>
        <v>1</v>
      </c>
      <c r="L34" s="62">
        <f>IF('Revenue Buildup'!J9&gt;10,2,1)</f>
        <v>1</v>
      </c>
      <c r="M34" s="62">
        <f>IF('Revenue Buildup'!K9&gt;10,2,1)</f>
        <v>1</v>
      </c>
      <c r="N34" s="62">
        <f>IF('Revenue Buildup'!L9&gt;10,2,1)</f>
        <v>1</v>
      </c>
      <c r="O34" s="62">
        <f>IF('Revenue Buildup'!M9&gt;10,2,1)</f>
        <v>1</v>
      </c>
      <c r="P34" s="62">
        <f>IF('Revenue Buildup'!N9&gt;10,2,1)</f>
        <v>1</v>
      </c>
      <c r="Q34" s="62">
        <f>IF('Revenue Buildup'!O9&gt;10,2,1)</f>
        <v>1</v>
      </c>
      <c r="R34" s="62">
        <f>IF('Revenue Buildup'!P9&gt;10,2,1)</f>
        <v>1</v>
      </c>
      <c r="S34" s="62">
        <f>IF('Revenue Buildup'!Q9&gt;10,2,1)</f>
        <v>1</v>
      </c>
      <c r="T34" s="62">
        <f>IF('Revenue Buildup'!R9&gt;10,2,1)</f>
        <v>1</v>
      </c>
      <c r="U34" s="62">
        <f>IF('Revenue Buildup'!S9&gt;10,2,1)</f>
        <v>1</v>
      </c>
      <c r="V34" s="62">
        <f>IF('Revenue Buildup'!T9&gt;10,2,1)</f>
        <v>1</v>
      </c>
      <c r="W34" s="62">
        <f>IF('Revenue Buildup'!U9&gt;10,2,1)</f>
        <v>1</v>
      </c>
      <c r="X34" s="62">
        <f>IF('Revenue Buildup'!V9&gt;10,2,1)</f>
        <v>1</v>
      </c>
      <c r="Y34" s="62">
        <f>IF('Revenue Buildup'!W9&gt;10,2,1)</f>
        <v>1</v>
      </c>
      <c r="Z34" s="62">
        <f>IF('Revenue Buildup'!X9&gt;10,2,1)</f>
        <v>1</v>
      </c>
      <c r="AA34" s="62">
        <f>IF('Revenue Buildup'!Y9&gt;10,2,1)</f>
        <v>1</v>
      </c>
      <c r="AB34" s="62">
        <f>IF('Revenue Buildup'!Z9&gt;10,2,1)</f>
        <v>1</v>
      </c>
      <c r="AC34" s="62">
        <f>IF('Revenue Buildup'!AA9&gt;10,2,1)</f>
        <v>1</v>
      </c>
      <c r="AD34" s="62">
        <f>IF('Revenue Buildup'!AB9&gt;10,2,1)</f>
        <v>1</v>
      </c>
      <c r="AE34" s="62">
        <f>IF('Revenue Buildup'!AC9&gt;10,2,1)</f>
        <v>2</v>
      </c>
      <c r="AF34" s="62">
        <f>IF('Revenue Buildup'!AD9&gt;10,2,1)</f>
        <v>2</v>
      </c>
      <c r="AG34" s="62">
        <f>IF('Revenue Buildup'!AE9&gt;10,2,1)</f>
        <v>2</v>
      </c>
      <c r="AH34" s="62">
        <f>IF('Revenue Buildup'!AF9&gt;10,2,1)</f>
        <v>2</v>
      </c>
      <c r="AI34" s="62">
        <f>IF('Revenue Buildup'!AG9&gt;10,2,1)</f>
        <v>2</v>
      </c>
      <c r="AJ34" s="62">
        <f>IF('Revenue Buildup'!AH9&gt;10,2,1)</f>
        <v>2</v>
      </c>
      <c r="AK34" s="62">
        <f>IF('Revenue Buildup'!AI9&gt;10,2,1)</f>
        <v>2</v>
      </c>
      <c r="AL34" s="62">
        <f>IF('Revenue Buildup'!AJ9&gt;10,2,1)</f>
        <v>2</v>
      </c>
      <c r="AM34" s="62">
        <f>IF('Revenue Buildup'!AK9&gt;10,2,1)</f>
        <v>2</v>
      </c>
      <c r="AN34" s="62">
        <f>IF('Revenue Buildup'!AL9&gt;10,2,1)</f>
        <v>2</v>
      </c>
      <c r="AO34" s="62">
        <f>IF('Revenue Buildup'!AM9&gt;10,2,1)</f>
        <v>2</v>
      </c>
      <c r="AP34" s="62">
        <f>IF('Revenue Buildup'!AN9&gt;10,2,1)</f>
        <v>2</v>
      </c>
      <c r="AR34" s="19">
        <f t="shared" si="41"/>
        <v>798600.00000000023</v>
      </c>
      <c r="AS34" s="19">
        <f t="shared" si="42"/>
        <v>878460.00000000035</v>
      </c>
      <c r="AU34" s="62">
        <f>IF('Revenue Buildup'!AS9/4&gt;10,2,1)</f>
        <v>2</v>
      </c>
      <c r="AV34" s="62">
        <f>IF('Revenue Buildup'!AT9/4&gt;10,2,1)</f>
        <v>2</v>
      </c>
    </row>
    <row r="35" spans="1:48" ht="15.75" customHeight="1">
      <c r="D35" s="5" t="s">
        <v>164</v>
      </c>
      <c r="G35" s="7">
        <f t="shared" ref="G35:R35" si="44">SUM(($C$33*G33),($C$34*G34))</f>
        <v>100000</v>
      </c>
      <c r="H35" s="7">
        <f t="shared" si="44"/>
        <v>100000</v>
      </c>
      <c r="I35" s="7">
        <f t="shared" si="44"/>
        <v>100000</v>
      </c>
      <c r="J35" s="7">
        <f t="shared" si="44"/>
        <v>100000</v>
      </c>
      <c r="K35" s="7">
        <f t="shared" si="44"/>
        <v>100000</v>
      </c>
      <c r="L35" s="7">
        <f t="shared" si="44"/>
        <v>100000</v>
      </c>
      <c r="M35" s="7">
        <f t="shared" si="44"/>
        <v>150000</v>
      </c>
      <c r="N35" s="7">
        <f t="shared" si="44"/>
        <v>150000</v>
      </c>
      <c r="O35" s="7">
        <f t="shared" si="44"/>
        <v>150000</v>
      </c>
      <c r="P35" s="7">
        <f t="shared" si="44"/>
        <v>150000</v>
      </c>
      <c r="Q35" s="7">
        <f t="shared" si="44"/>
        <v>150000</v>
      </c>
      <c r="R35" s="7">
        <f t="shared" si="44"/>
        <v>150000</v>
      </c>
      <c r="S35" s="7">
        <f t="shared" ref="S35:AD35" si="45">SUM(($D$33*S33),($D$34*S34))</f>
        <v>165000.00000000003</v>
      </c>
      <c r="T35" s="7">
        <f t="shared" si="45"/>
        <v>165000.00000000003</v>
      </c>
      <c r="U35" s="7">
        <f t="shared" si="45"/>
        <v>165000.00000000003</v>
      </c>
      <c r="V35" s="7">
        <f t="shared" si="45"/>
        <v>165000.00000000003</v>
      </c>
      <c r="W35" s="7">
        <f t="shared" si="45"/>
        <v>165000.00000000003</v>
      </c>
      <c r="X35" s="7">
        <f t="shared" si="45"/>
        <v>165000.00000000003</v>
      </c>
      <c r="Y35" s="7">
        <f t="shared" si="45"/>
        <v>165000.00000000003</v>
      </c>
      <c r="Z35" s="7">
        <f t="shared" si="45"/>
        <v>165000.00000000003</v>
      </c>
      <c r="AA35" s="7">
        <f t="shared" si="45"/>
        <v>165000.00000000003</v>
      </c>
      <c r="AB35" s="7">
        <f t="shared" si="45"/>
        <v>165000.00000000003</v>
      </c>
      <c r="AC35" s="7">
        <f t="shared" si="45"/>
        <v>165000.00000000003</v>
      </c>
      <c r="AD35" s="7">
        <f t="shared" si="45"/>
        <v>165000.00000000003</v>
      </c>
      <c r="AE35" s="7">
        <f t="shared" ref="AE35:AP35" si="46">SUM(($E$33*AE33),($E$34*AE34))</f>
        <v>242000.00000000006</v>
      </c>
      <c r="AF35" s="7">
        <f t="shared" si="46"/>
        <v>242000.00000000006</v>
      </c>
      <c r="AG35" s="7">
        <f t="shared" si="46"/>
        <v>242000.00000000006</v>
      </c>
      <c r="AH35" s="7">
        <f t="shared" si="46"/>
        <v>242000.00000000006</v>
      </c>
      <c r="AI35" s="7">
        <f t="shared" si="46"/>
        <v>242000.00000000006</v>
      </c>
      <c r="AJ35" s="7">
        <f t="shared" si="46"/>
        <v>242000.00000000006</v>
      </c>
      <c r="AK35" s="7">
        <f t="shared" si="46"/>
        <v>242000.00000000006</v>
      </c>
      <c r="AL35" s="7">
        <f t="shared" si="46"/>
        <v>242000.00000000006</v>
      </c>
      <c r="AM35" s="7">
        <f t="shared" si="46"/>
        <v>242000.00000000006</v>
      </c>
      <c r="AN35" s="7">
        <f t="shared" si="46"/>
        <v>242000.00000000006</v>
      </c>
      <c r="AO35" s="7">
        <f t="shared" si="46"/>
        <v>242000.00000000006</v>
      </c>
      <c r="AP35" s="7">
        <f t="shared" si="46"/>
        <v>242000.00000000006</v>
      </c>
      <c r="AU35" s="7">
        <f>SUM(($AR$33*AU33),($AR$34*AU34))</f>
        <v>3993000.0000000014</v>
      </c>
      <c r="AV35" s="7">
        <f>SUM(($AS$33*AV33),($AS$34*AV34))</f>
        <v>4392300.0000000019</v>
      </c>
    </row>
    <row r="36" spans="1:48" ht="15.75" customHeight="1">
      <c r="A36" s="5"/>
      <c r="D36" s="5" t="s">
        <v>165</v>
      </c>
      <c r="G36" s="62">
        <f t="shared" ref="G36:AP36" si="47">SUM(G33:G34)</f>
        <v>2</v>
      </c>
      <c r="H36" s="62">
        <f t="shared" si="47"/>
        <v>2</v>
      </c>
      <c r="I36" s="62">
        <f t="shared" si="47"/>
        <v>2</v>
      </c>
      <c r="J36" s="62">
        <f t="shared" si="47"/>
        <v>2</v>
      </c>
      <c r="K36" s="62">
        <f t="shared" si="47"/>
        <v>2</v>
      </c>
      <c r="L36" s="62">
        <f t="shared" si="47"/>
        <v>2</v>
      </c>
      <c r="M36" s="62">
        <f t="shared" si="47"/>
        <v>3</v>
      </c>
      <c r="N36" s="62">
        <f t="shared" si="47"/>
        <v>3</v>
      </c>
      <c r="O36" s="62">
        <f t="shared" si="47"/>
        <v>3</v>
      </c>
      <c r="P36" s="62">
        <f t="shared" si="47"/>
        <v>3</v>
      </c>
      <c r="Q36" s="62">
        <f t="shared" si="47"/>
        <v>3</v>
      </c>
      <c r="R36" s="62">
        <f t="shared" si="47"/>
        <v>3</v>
      </c>
      <c r="S36" s="62">
        <f t="shared" si="47"/>
        <v>3</v>
      </c>
      <c r="T36" s="62">
        <f t="shared" si="47"/>
        <v>3</v>
      </c>
      <c r="U36" s="62">
        <f t="shared" si="47"/>
        <v>3</v>
      </c>
      <c r="V36" s="62">
        <f t="shared" si="47"/>
        <v>3</v>
      </c>
      <c r="W36" s="62">
        <f t="shared" si="47"/>
        <v>3</v>
      </c>
      <c r="X36" s="62">
        <f t="shared" si="47"/>
        <v>3</v>
      </c>
      <c r="Y36" s="62">
        <f t="shared" si="47"/>
        <v>3</v>
      </c>
      <c r="Z36" s="62">
        <f t="shared" si="47"/>
        <v>3</v>
      </c>
      <c r="AA36" s="62">
        <f t="shared" si="47"/>
        <v>3</v>
      </c>
      <c r="AB36" s="62">
        <f t="shared" si="47"/>
        <v>3</v>
      </c>
      <c r="AC36" s="62">
        <f t="shared" si="47"/>
        <v>3</v>
      </c>
      <c r="AD36" s="62">
        <f t="shared" si="47"/>
        <v>3</v>
      </c>
      <c r="AE36" s="62">
        <f t="shared" si="47"/>
        <v>4</v>
      </c>
      <c r="AF36" s="62">
        <f t="shared" si="47"/>
        <v>4</v>
      </c>
      <c r="AG36" s="62">
        <f t="shared" si="47"/>
        <v>4</v>
      </c>
      <c r="AH36" s="62">
        <f t="shared" si="47"/>
        <v>4</v>
      </c>
      <c r="AI36" s="62">
        <f t="shared" si="47"/>
        <v>4</v>
      </c>
      <c r="AJ36" s="62">
        <f t="shared" si="47"/>
        <v>4</v>
      </c>
      <c r="AK36" s="62">
        <f t="shared" si="47"/>
        <v>4</v>
      </c>
      <c r="AL36" s="62">
        <f t="shared" si="47"/>
        <v>4</v>
      </c>
      <c r="AM36" s="62">
        <f t="shared" si="47"/>
        <v>4</v>
      </c>
      <c r="AN36" s="62">
        <f t="shared" si="47"/>
        <v>4</v>
      </c>
      <c r="AO36" s="62">
        <f t="shared" si="47"/>
        <v>4</v>
      </c>
      <c r="AP36" s="62">
        <f t="shared" si="47"/>
        <v>4</v>
      </c>
      <c r="AU36" s="62">
        <f t="shared" ref="AU36:AV36" si="48">SUM(AU33:AU34)</f>
        <v>5</v>
      </c>
      <c r="AV36" s="62">
        <f t="shared" si="48"/>
        <v>5</v>
      </c>
    </row>
    <row r="37" spans="1:48" ht="15.75" customHeight="1">
      <c r="A37" s="5"/>
      <c r="AR37" s="107" t="s">
        <v>155</v>
      </c>
      <c r="AS37" s="113"/>
    </row>
    <row r="38" spans="1:48" ht="15.75" customHeight="1">
      <c r="A38" s="92" t="s">
        <v>179</v>
      </c>
      <c r="B38" s="92" t="s">
        <v>157</v>
      </c>
      <c r="C38" s="93" t="s">
        <v>4</v>
      </c>
      <c r="D38" s="93" t="s">
        <v>5</v>
      </c>
      <c r="E38" s="93" t="s">
        <v>6</v>
      </c>
      <c r="AR38" s="80" t="s">
        <v>7</v>
      </c>
      <c r="AS38" s="80" t="s">
        <v>8</v>
      </c>
    </row>
    <row r="39" spans="1:48" ht="15.75" customHeight="1">
      <c r="A39" s="62" t="s">
        <v>180</v>
      </c>
      <c r="B39" s="62" t="s">
        <v>159</v>
      </c>
      <c r="C39" s="19">
        <v>40000</v>
      </c>
      <c r="D39" s="19">
        <f t="shared" ref="D39:E39" si="49">C39*1.1</f>
        <v>44000</v>
      </c>
      <c r="E39" s="19">
        <f t="shared" si="49"/>
        <v>48400.000000000007</v>
      </c>
      <c r="G39" s="62">
        <v>1</v>
      </c>
      <c r="H39" s="62">
        <v>1</v>
      </c>
      <c r="I39" s="62">
        <v>1</v>
      </c>
      <c r="J39" s="62">
        <v>1</v>
      </c>
      <c r="K39" s="62">
        <v>1</v>
      </c>
      <c r="L39" s="62">
        <v>1</v>
      </c>
      <c r="M39" s="62">
        <v>1</v>
      </c>
      <c r="N39" s="62">
        <v>1</v>
      </c>
      <c r="O39" s="62">
        <v>1</v>
      </c>
      <c r="P39" s="62">
        <v>1</v>
      </c>
      <c r="Q39" s="62">
        <v>1</v>
      </c>
      <c r="R39" s="62">
        <v>1</v>
      </c>
      <c r="S39" s="62">
        <v>1</v>
      </c>
      <c r="T39" s="62">
        <v>1</v>
      </c>
      <c r="U39" s="62">
        <v>1</v>
      </c>
      <c r="V39" s="62">
        <v>1</v>
      </c>
      <c r="W39" s="62">
        <v>1</v>
      </c>
      <c r="X39" s="62">
        <v>1</v>
      </c>
      <c r="Y39" s="62">
        <v>1</v>
      </c>
      <c r="Z39" s="62">
        <v>1</v>
      </c>
      <c r="AA39" s="62">
        <v>1</v>
      </c>
      <c r="AB39" s="62">
        <v>1</v>
      </c>
      <c r="AC39" s="62">
        <v>1</v>
      </c>
      <c r="AD39" s="62">
        <v>1</v>
      </c>
      <c r="AE39" s="62">
        <v>1</v>
      </c>
      <c r="AF39" s="62">
        <v>1</v>
      </c>
      <c r="AG39" s="62">
        <v>1</v>
      </c>
      <c r="AH39" s="62">
        <v>1</v>
      </c>
      <c r="AI39" s="62">
        <v>1</v>
      </c>
      <c r="AJ39" s="62">
        <v>1</v>
      </c>
      <c r="AK39" s="62">
        <v>1</v>
      </c>
      <c r="AL39" s="62">
        <v>1</v>
      </c>
      <c r="AM39" s="62">
        <v>1</v>
      </c>
      <c r="AN39" s="62">
        <v>1</v>
      </c>
      <c r="AO39" s="62">
        <v>1</v>
      </c>
      <c r="AP39" s="62">
        <v>1</v>
      </c>
      <c r="AR39" s="19">
        <f t="shared" ref="AR39:AR41" si="50">E39*1.1*12</f>
        <v>638880.00000000023</v>
      </c>
      <c r="AS39" s="19">
        <f t="shared" ref="AS39:AS41" si="51">AR39*1.1</f>
        <v>702768.00000000035</v>
      </c>
      <c r="AU39" s="62">
        <v>1</v>
      </c>
      <c r="AV39" s="62">
        <v>1</v>
      </c>
    </row>
    <row r="40" spans="1:48" ht="15.75" customHeight="1">
      <c r="A40" s="62" t="s">
        <v>181</v>
      </c>
      <c r="B40" s="62" t="s">
        <v>159</v>
      </c>
      <c r="C40" s="19">
        <v>35000</v>
      </c>
      <c r="D40" s="19">
        <f t="shared" ref="D40:E40" si="52">C40*1.1</f>
        <v>38500</v>
      </c>
      <c r="E40" s="19">
        <f t="shared" si="52"/>
        <v>42350</v>
      </c>
      <c r="G40" s="62">
        <v>1</v>
      </c>
      <c r="H40" s="62">
        <v>1</v>
      </c>
      <c r="I40" s="62">
        <v>1</v>
      </c>
      <c r="J40" s="62">
        <v>1</v>
      </c>
      <c r="K40" s="62">
        <v>1</v>
      </c>
      <c r="L40" s="62">
        <v>1</v>
      </c>
      <c r="M40" s="62">
        <v>1</v>
      </c>
      <c r="N40" s="62">
        <v>1</v>
      </c>
      <c r="O40" s="62">
        <v>1</v>
      </c>
      <c r="P40" s="62">
        <v>1</v>
      </c>
      <c r="Q40" s="62">
        <v>1</v>
      </c>
      <c r="R40" s="62">
        <v>1</v>
      </c>
      <c r="S40" s="62">
        <v>1</v>
      </c>
      <c r="T40" s="62">
        <v>1</v>
      </c>
      <c r="U40" s="62">
        <v>1</v>
      </c>
      <c r="V40" s="62">
        <v>1</v>
      </c>
      <c r="W40" s="62">
        <v>1</v>
      </c>
      <c r="X40" s="62">
        <v>1</v>
      </c>
      <c r="Y40" s="62">
        <v>1</v>
      </c>
      <c r="Z40" s="62">
        <v>1</v>
      </c>
      <c r="AA40" s="62">
        <v>1</v>
      </c>
      <c r="AB40" s="62">
        <v>1</v>
      </c>
      <c r="AC40" s="62">
        <v>1</v>
      </c>
      <c r="AD40" s="62">
        <v>1</v>
      </c>
      <c r="AE40" s="62">
        <v>1</v>
      </c>
      <c r="AF40" s="62">
        <v>1</v>
      </c>
      <c r="AG40" s="62">
        <v>1</v>
      </c>
      <c r="AH40" s="62">
        <v>1</v>
      </c>
      <c r="AI40" s="62">
        <v>1</v>
      </c>
      <c r="AJ40" s="62">
        <v>1</v>
      </c>
      <c r="AK40" s="62">
        <v>1</v>
      </c>
      <c r="AL40" s="62">
        <v>1</v>
      </c>
      <c r="AM40" s="62">
        <v>1</v>
      </c>
      <c r="AN40" s="62">
        <v>1</v>
      </c>
      <c r="AO40" s="62">
        <v>1</v>
      </c>
      <c r="AP40" s="62">
        <v>1</v>
      </c>
      <c r="AR40" s="19">
        <f t="shared" si="50"/>
        <v>559020.00000000012</v>
      </c>
      <c r="AS40" s="19">
        <f t="shared" si="51"/>
        <v>614922.00000000023</v>
      </c>
      <c r="AU40" s="62">
        <v>2</v>
      </c>
      <c r="AV40" s="62">
        <v>2</v>
      </c>
    </row>
    <row r="41" spans="1:48" ht="15.75" customHeight="1">
      <c r="A41" s="62" t="s">
        <v>182</v>
      </c>
      <c r="B41" s="62" t="s">
        <v>159</v>
      </c>
      <c r="C41" s="19">
        <v>12000</v>
      </c>
      <c r="D41" s="19">
        <f t="shared" ref="D41:E41" si="53">C41*1.1</f>
        <v>13200.000000000002</v>
      </c>
      <c r="E41" s="19">
        <f t="shared" si="53"/>
        <v>14520.000000000004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1</v>
      </c>
      <c r="T41" s="62">
        <v>1</v>
      </c>
      <c r="U41" s="62">
        <v>1</v>
      </c>
      <c r="V41" s="62">
        <v>1</v>
      </c>
      <c r="W41" s="62">
        <v>1</v>
      </c>
      <c r="X41" s="62">
        <v>1</v>
      </c>
      <c r="Y41" s="62">
        <v>1</v>
      </c>
      <c r="Z41" s="62">
        <v>1</v>
      </c>
      <c r="AA41" s="62">
        <v>1</v>
      </c>
      <c r="AB41" s="62">
        <v>1</v>
      </c>
      <c r="AC41" s="62">
        <v>1</v>
      </c>
      <c r="AD41" s="62">
        <v>1</v>
      </c>
      <c r="AE41" s="62">
        <v>2</v>
      </c>
      <c r="AF41" s="62">
        <v>2</v>
      </c>
      <c r="AG41" s="62">
        <v>2</v>
      </c>
      <c r="AH41" s="62">
        <v>2</v>
      </c>
      <c r="AI41" s="62">
        <v>2</v>
      </c>
      <c r="AJ41" s="62">
        <v>2</v>
      </c>
      <c r="AK41" s="62">
        <v>2</v>
      </c>
      <c r="AL41" s="62">
        <v>2</v>
      </c>
      <c r="AM41" s="62">
        <v>2</v>
      </c>
      <c r="AN41" s="62">
        <v>2</v>
      </c>
      <c r="AO41" s="62">
        <v>2</v>
      </c>
      <c r="AP41" s="62">
        <v>2</v>
      </c>
      <c r="AR41" s="19">
        <f t="shared" si="50"/>
        <v>191664.00000000006</v>
      </c>
      <c r="AS41" s="19">
        <f t="shared" si="51"/>
        <v>210830.40000000008</v>
      </c>
      <c r="AU41" s="62">
        <v>2</v>
      </c>
      <c r="AV41" s="62">
        <v>2</v>
      </c>
    </row>
    <row r="42" spans="1:48" ht="15.75" customHeight="1">
      <c r="D42" s="5" t="s">
        <v>164</v>
      </c>
      <c r="G42" s="7">
        <f t="shared" ref="G42:R42" si="54">SUM(($C$39*G39),($C$40*G40),($C$41*G41))</f>
        <v>75000</v>
      </c>
      <c r="H42" s="7">
        <f t="shared" si="54"/>
        <v>75000</v>
      </c>
      <c r="I42" s="7">
        <f t="shared" si="54"/>
        <v>75000</v>
      </c>
      <c r="J42" s="7">
        <f t="shared" si="54"/>
        <v>75000</v>
      </c>
      <c r="K42" s="7">
        <f t="shared" si="54"/>
        <v>75000</v>
      </c>
      <c r="L42" s="7">
        <f t="shared" si="54"/>
        <v>75000</v>
      </c>
      <c r="M42" s="7">
        <f t="shared" si="54"/>
        <v>75000</v>
      </c>
      <c r="N42" s="7">
        <f t="shared" si="54"/>
        <v>75000</v>
      </c>
      <c r="O42" s="7">
        <f t="shared" si="54"/>
        <v>75000</v>
      </c>
      <c r="P42" s="7">
        <f t="shared" si="54"/>
        <v>75000</v>
      </c>
      <c r="Q42" s="7">
        <f t="shared" si="54"/>
        <v>75000</v>
      </c>
      <c r="R42" s="7">
        <f t="shared" si="54"/>
        <v>75000</v>
      </c>
      <c r="S42" s="7">
        <f t="shared" ref="S42:AD42" si="55">SUM(($D$39*S39),($D$40*S40),($D$41*S41))</f>
        <v>95700</v>
      </c>
      <c r="T42" s="7">
        <f t="shared" si="55"/>
        <v>95700</v>
      </c>
      <c r="U42" s="7">
        <f t="shared" si="55"/>
        <v>95700</v>
      </c>
      <c r="V42" s="7">
        <f t="shared" si="55"/>
        <v>95700</v>
      </c>
      <c r="W42" s="7">
        <f t="shared" si="55"/>
        <v>95700</v>
      </c>
      <c r="X42" s="7">
        <f t="shared" si="55"/>
        <v>95700</v>
      </c>
      <c r="Y42" s="7">
        <f t="shared" si="55"/>
        <v>95700</v>
      </c>
      <c r="Z42" s="7">
        <f t="shared" si="55"/>
        <v>95700</v>
      </c>
      <c r="AA42" s="7">
        <f t="shared" si="55"/>
        <v>95700</v>
      </c>
      <c r="AB42" s="7">
        <f t="shared" si="55"/>
        <v>95700</v>
      </c>
      <c r="AC42" s="7">
        <f t="shared" si="55"/>
        <v>95700</v>
      </c>
      <c r="AD42" s="7">
        <f t="shared" si="55"/>
        <v>95700</v>
      </c>
      <c r="AE42" s="7">
        <f t="shared" ref="AE42:AP42" si="56">SUM(($E$39*AE39),($E$40*AE40),($E$41*AE41))</f>
        <v>119790</v>
      </c>
      <c r="AF42" s="7">
        <f t="shared" si="56"/>
        <v>119790</v>
      </c>
      <c r="AG42" s="7">
        <f t="shared" si="56"/>
        <v>119790</v>
      </c>
      <c r="AH42" s="7">
        <f t="shared" si="56"/>
        <v>119790</v>
      </c>
      <c r="AI42" s="7">
        <f t="shared" si="56"/>
        <v>119790</v>
      </c>
      <c r="AJ42" s="7">
        <f t="shared" si="56"/>
        <v>119790</v>
      </c>
      <c r="AK42" s="7">
        <f t="shared" si="56"/>
        <v>119790</v>
      </c>
      <c r="AL42" s="7">
        <f t="shared" si="56"/>
        <v>119790</v>
      </c>
      <c r="AM42" s="7">
        <f t="shared" si="56"/>
        <v>119790</v>
      </c>
      <c r="AN42" s="7">
        <f t="shared" si="56"/>
        <v>119790</v>
      </c>
      <c r="AO42" s="7">
        <f t="shared" si="56"/>
        <v>119790</v>
      </c>
      <c r="AP42" s="7">
        <f t="shared" si="56"/>
        <v>119790</v>
      </c>
      <c r="AU42" s="7">
        <f>SUM(($AR$39*AU39),($AR$40*AU40),($AR$41*AU41))</f>
        <v>2140248.0000000005</v>
      </c>
      <c r="AV42" s="7">
        <f>SUM(($AS$39*AV39),($AS$40*AV40),($AS$41*AV41))</f>
        <v>2354272.8000000012</v>
      </c>
    </row>
    <row r="43" spans="1:48" ht="15.75" customHeight="1">
      <c r="C43" s="7"/>
      <c r="D43" s="5" t="s">
        <v>165</v>
      </c>
      <c r="G43" s="62">
        <f t="shared" ref="G43:AP43" si="57">SUM(G39:G41)</f>
        <v>2</v>
      </c>
      <c r="H43" s="62">
        <f t="shared" si="57"/>
        <v>2</v>
      </c>
      <c r="I43" s="62">
        <f t="shared" si="57"/>
        <v>2</v>
      </c>
      <c r="J43" s="62">
        <f t="shared" si="57"/>
        <v>2</v>
      </c>
      <c r="K43" s="62">
        <f t="shared" si="57"/>
        <v>2</v>
      </c>
      <c r="L43" s="62">
        <f t="shared" si="57"/>
        <v>2</v>
      </c>
      <c r="M43" s="62">
        <f t="shared" si="57"/>
        <v>2</v>
      </c>
      <c r="N43" s="62">
        <f t="shared" si="57"/>
        <v>2</v>
      </c>
      <c r="O43" s="62">
        <f t="shared" si="57"/>
        <v>2</v>
      </c>
      <c r="P43" s="62">
        <f t="shared" si="57"/>
        <v>2</v>
      </c>
      <c r="Q43" s="62">
        <f t="shared" si="57"/>
        <v>2</v>
      </c>
      <c r="R43" s="62">
        <f t="shared" si="57"/>
        <v>2</v>
      </c>
      <c r="S43" s="62">
        <f t="shared" si="57"/>
        <v>3</v>
      </c>
      <c r="T43" s="62">
        <f t="shared" si="57"/>
        <v>3</v>
      </c>
      <c r="U43" s="62">
        <f t="shared" si="57"/>
        <v>3</v>
      </c>
      <c r="V43" s="62">
        <f t="shared" si="57"/>
        <v>3</v>
      </c>
      <c r="W43" s="62">
        <f t="shared" si="57"/>
        <v>3</v>
      </c>
      <c r="X43" s="62">
        <f t="shared" si="57"/>
        <v>3</v>
      </c>
      <c r="Y43" s="62">
        <f t="shared" si="57"/>
        <v>3</v>
      </c>
      <c r="Z43" s="62">
        <f t="shared" si="57"/>
        <v>3</v>
      </c>
      <c r="AA43" s="62">
        <f t="shared" si="57"/>
        <v>3</v>
      </c>
      <c r="AB43" s="62">
        <f t="shared" si="57"/>
        <v>3</v>
      </c>
      <c r="AC43" s="62">
        <f t="shared" si="57"/>
        <v>3</v>
      </c>
      <c r="AD43" s="62">
        <f t="shared" si="57"/>
        <v>3</v>
      </c>
      <c r="AE43" s="62">
        <f t="shared" si="57"/>
        <v>4</v>
      </c>
      <c r="AF43" s="62">
        <f t="shared" si="57"/>
        <v>4</v>
      </c>
      <c r="AG43" s="62">
        <f t="shared" si="57"/>
        <v>4</v>
      </c>
      <c r="AH43" s="62">
        <f t="shared" si="57"/>
        <v>4</v>
      </c>
      <c r="AI43" s="62">
        <f t="shared" si="57"/>
        <v>4</v>
      </c>
      <c r="AJ43" s="62">
        <f t="shared" si="57"/>
        <v>4</v>
      </c>
      <c r="AK43" s="62">
        <f t="shared" si="57"/>
        <v>4</v>
      </c>
      <c r="AL43" s="62">
        <f t="shared" si="57"/>
        <v>4</v>
      </c>
      <c r="AM43" s="62">
        <f t="shared" si="57"/>
        <v>4</v>
      </c>
      <c r="AN43" s="62">
        <f t="shared" si="57"/>
        <v>4</v>
      </c>
      <c r="AO43" s="62">
        <f t="shared" si="57"/>
        <v>4</v>
      </c>
      <c r="AP43" s="62">
        <f t="shared" si="57"/>
        <v>4</v>
      </c>
      <c r="AU43" s="62">
        <f t="shared" ref="AU43:AV43" si="58">SUM(AU39:AU41)</f>
        <v>5</v>
      </c>
      <c r="AV43" s="62">
        <f t="shared" si="58"/>
        <v>5</v>
      </c>
    </row>
    <row r="44" spans="1:48" ht="15.75" customHeight="1">
      <c r="C44" s="7"/>
      <c r="D44" s="5"/>
    </row>
    <row r="45" spans="1:48" ht="15.75" customHeight="1">
      <c r="C45" s="7"/>
      <c r="D45" s="5"/>
    </row>
    <row r="46" spans="1:48" ht="15.75" customHeight="1">
      <c r="D46" s="5" t="s">
        <v>183</v>
      </c>
      <c r="G46" s="7">
        <f t="shared" ref="G46:AP46" si="59">SUM(G14,G29,G35,G42,G23)</f>
        <v>2035000</v>
      </c>
      <c r="H46" s="7">
        <f t="shared" si="59"/>
        <v>2035000</v>
      </c>
      <c r="I46" s="7">
        <f t="shared" si="59"/>
        <v>2035000</v>
      </c>
      <c r="J46" s="7">
        <f t="shared" si="59"/>
        <v>2845000</v>
      </c>
      <c r="K46" s="7">
        <f t="shared" si="59"/>
        <v>2845000</v>
      </c>
      <c r="L46" s="7">
        <f t="shared" si="59"/>
        <v>3315000</v>
      </c>
      <c r="M46" s="7">
        <f t="shared" si="59"/>
        <v>3365000</v>
      </c>
      <c r="N46" s="7">
        <f t="shared" si="59"/>
        <v>4135000</v>
      </c>
      <c r="O46" s="7">
        <f t="shared" si="59"/>
        <v>4135000</v>
      </c>
      <c r="P46" s="7">
        <f t="shared" si="59"/>
        <v>4135000</v>
      </c>
      <c r="Q46" s="7">
        <f t="shared" si="59"/>
        <v>4135000</v>
      </c>
      <c r="R46" s="7">
        <f t="shared" si="59"/>
        <v>4135000</v>
      </c>
      <c r="S46" s="7">
        <f>SUM(S14,S29,S35,S42,S23)</f>
        <v>3582700</v>
      </c>
      <c r="T46" s="7">
        <f t="shared" si="59"/>
        <v>3582700</v>
      </c>
      <c r="U46" s="7">
        <f t="shared" si="59"/>
        <v>3923700</v>
      </c>
      <c r="V46" s="7">
        <f t="shared" si="59"/>
        <v>3582700</v>
      </c>
      <c r="W46" s="7">
        <f t="shared" si="59"/>
        <v>3582700</v>
      </c>
      <c r="X46" s="7">
        <f t="shared" si="59"/>
        <v>3373700</v>
      </c>
      <c r="Y46" s="7">
        <f t="shared" si="59"/>
        <v>3582700</v>
      </c>
      <c r="Z46" s="7">
        <f t="shared" si="59"/>
        <v>3582700</v>
      </c>
      <c r="AA46" s="7">
        <f t="shared" si="59"/>
        <v>3582700</v>
      </c>
      <c r="AB46" s="7">
        <f t="shared" si="59"/>
        <v>3923700</v>
      </c>
      <c r="AC46" s="7">
        <f t="shared" si="59"/>
        <v>4132700</v>
      </c>
      <c r="AD46" s="7">
        <f t="shared" si="59"/>
        <v>4132700</v>
      </c>
      <c r="AE46" s="7">
        <f t="shared" si="59"/>
        <v>4620990.0000000009</v>
      </c>
      <c r="AF46" s="7">
        <f t="shared" si="59"/>
        <v>4620990.0000000009</v>
      </c>
      <c r="AG46" s="7">
        <f t="shared" si="59"/>
        <v>4620990.0000000009</v>
      </c>
      <c r="AH46" s="7">
        <f t="shared" si="59"/>
        <v>4620990.0000000009</v>
      </c>
      <c r="AI46" s="7">
        <f t="shared" si="59"/>
        <v>4620990.0000000009</v>
      </c>
      <c r="AJ46" s="7">
        <f t="shared" si="59"/>
        <v>4620990.0000000009</v>
      </c>
      <c r="AK46" s="7">
        <f t="shared" si="59"/>
        <v>4620990.0000000009</v>
      </c>
      <c r="AL46" s="7">
        <f t="shared" si="59"/>
        <v>4620990.0000000009</v>
      </c>
      <c r="AM46" s="7">
        <f t="shared" si="59"/>
        <v>4971890.0000000009</v>
      </c>
      <c r="AN46" s="7">
        <f t="shared" si="59"/>
        <v>4620990.0000000009</v>
      </c>
      <c r="AO46" s="7">
        <f t="shared" si="59"/>
        <v>4620990.0000000009</v>
      </c>
      <c r="AP46" s="7">
        <f t="shared" si="59"/>
        <v>4620990.0000000009</v>
      </c>
      <c r="AU46" s="7">
        <f t="shared" ref="AU46:AV46" si="60">SUM(AU14,AU29,AU35,AU42,AU23)</f>
        <v>89187648.00000003</v>
      </c>
      <c r="AV46" s="7">
        <f t="shared" si="60"/>
        <v>115324228.80000004</v>
      </c>
    </row>
    <row r="47" spans="1:48" ht="15.75" customHeight="1">
      <c r="D47" s="5" t="s">
        <v>184</v>
      </c>
      <c r="G47" s="7">
        <f t="shared" ref="G47:AP47" si="61">SUM(G15,G30,G36,G43,G24)</f>
        <v>21</v>
      </c>
      <c r="H47" s="7">
        <f t="shared" si="61"/>
        <v>21</v>
      </c>
      <c r="I47" s="7">
        <f t="shared" si="61"/>
        <v>21</v>
      </c>
      <c r="J47" s="7">
        <f t="shared" si="61"/>
        <v>29.5</v>
      </c>
      <c r="K47" s="7">
        <f t="shared" si="61"/>
        <v>29.5</v>
      </c>
      <c r="L47" s="7">
        <f t="shared" si="61"/>
        <v>34.333333333333329</v>
      </c>
      <c r="M47" s="7">
        <f t="shared" si="61"/>
        <v>35.333333333333329</v>
      </c>
      <c r="N47" s="7">
        <f t="shared" si="61"/>
        <v>43.166666666666671</v>
      </c>
      <c r="O47" s="7">
        <f t="shared" si="61"/>
        <v>43.166666666666671</v>
      </c>
      <c r="P47" s="7">
        <f t="shared" si="61"/>
        <v>43.166666666666671</v>
      </c>
      <c r="Q47" s="7">
        <f t="shared" si="61"/>
        <v>43.166666666666671</v>
      </c>
      <c r="R47" s="7">
        <f t="shared" si="61"/>
        <v>43.166666666666671</v>
      </c>
      <c r="S47" s="7">
        <f>SUM(S15,S30,S36,S43,S24)</f>
        <v>35</v>
      </c>
      <c r="T47" s="7">
        <f t="shared" si="61"/>
        <v>35</v>
      </c>
      <c r="U47" s="7">
        <f t="shared" si="61"/>
        <v>38</v>
      </c>
      <c r="V47" s="7">
        <f t="shared" si="61"/>
        <v>35</v>
      </c>
      <c r="W47" s="7">
        <f t="shared" si="61"/>
        <v>35</v>
      </c>
      <c r="X47" s="7">
        <f t="shared" si="61"/>
        <v>33</v>
      </c>
      <c r="Y47" s="7">
        <f t="shared" si="61"/>
        <v>35</v>
      </c>
      <c r="Z47" s="7">
        <f t="shared" si="61"/>
        <v>35</v>
      </c>
      <c r="AA47" s="7">
        <f t="shared" si="61"/>
        <v>35</v>
      </c>
      <c r="AB47" s="7">
        <f t="shared" si="61"/>
        <v>38</v>
      </c>
      <c r="AC47" s="7">
        <f t="shared" si="61"/>
        <v>40</v>
      </c>
      <c r="AD47" s="7">
        <f t="shared" si="61"/>
        <v>40</v>
      </c>
      <c r="AE47" s="7">
        <f t="shared" si="61"/>
        <v>42</v>
      </c>
      <c r="AF47" s="7">
        <f t="shared" si="61"/>
        <v>42</v>
      </c>
      <c r="AG47" s="7">
        <f t="shared" si="61"/>
        <v>42</v>
      </c>
      <c r="AH47" s="7">
        <f t="shared" si="61"/>
        <v>42</v>
      </c>
      <c r="AI47" s="7">
        <f t="shared" si="61"/>
        <v>42</v>
      </c>
      <c r="AJ47" s="7">
        <f t="shared" si="61"/>
        <v>42</v>
      </c>
      <c r="AK47" s="7">
        <f t="shared" si="61"/>
        <v>42</v>
      </c>
      <c r="AL47" s="7">
        <f t="shared" si="61"/>
        <v>42</v>
      </c>
      <c r="AM47" s="7">
        <f t="shared" si="61"/>
        <v>45</v>
      </c>
      <c r="AN47" s="7">
        <f t="shared" si="61"/>
        <v>42</v>
      </c>
      <c r="AO47" s="7">
        <f t="shared" si="61"/>
        <v>42</v>
      </c>
      <c r="AP47" s="7">
        <f t="shared" si="61"/>
        <v>42</v>
      </c>
      <c r="AQ47" s="7"/>
      <c r="AR47" s="7"/>
      <c r="AS47" s="7"/>
      <c r="AT47" s="7"/>
      <c r="AU47" s="7">
        <f t="shared" ref="AU47:AV47" si="62">SUM(AU15,AU30,AU36,AU43,AU24)</f>
        <v>61.5</v>
      </c>
      <c r="AV47" s="7">
        <f t="shared" si="62"/>
        <v>71.5</v>
      </c>
    </row>
    <row r="48" spans="1:48" ht="15.75" customHeight="1">
      <c r="D48" s="5" t="s">
        <v>185</v>
      </c>
      <c r="G48" s="7">
        <f t="shared" ref="G48:AP48" si="63">G16+G35</f>
        <v>280000</v>
      </c>
      <c r="H48" s="7">
        <f t="shared" si="63"/>
        <v>280000</v>
      </c>
      <c r="I48" s="7">
        <f t="shared" si="63"/>
        <v>280000</v>
      </c>
      <c r="J48" s="7">
        <f t="shared" si="63"/>
        <v>280000</v>
      </c>
      <c r="K48" s="7">
        <f t="shared" si="63"/>
        <v>280000</v>
      </c>
      <c r="L48" s="7">
        <f t="shared" si="63"/>
        <v>280000</v>
      </c>
      <c r="M48" s="7">
        <f t="shared" si="63"/>
        <v>330000</v>
      </c>
      <c r="N48" s="7">
        <f t="shared" si="63"/>
        <v>330000</v>
      </c>
      <c r="O48" s="7">
        <f t="shared" si="63"/>
        <v>330000</v>
      </c>
      <c r="P48" s="7">
        <f t="shared" si="63"/>
        <v>330000</v>
      </c>
      <c r="Q48" s="7">
        <f t="shared" si="63"/>
        <v>330000</v>
      </c>
      <c r="R48" s="7">
        <f t="shared" si="63"/>
        <v>330000</v>
      </c>
      <c r="S48" s="7">
        <f>S16+S35</f>
        <v>363000.00000000006</v>
      </c>
      <c r="T48" s="7">
        <f t="shared" si="63"/>
        <v>363000.00000000006</v>
      </c>
      <c r="U48" s="7">
        <f t="shared" si="63"/>
        <v>363000.00000000006</v>
      </c>
      <c r="V48" s="7">
        <f t="shared" si="63"/>
        <v>363000.00000000006</v>
      </c>
      <c r="W48" s="7">
        <f t="shared" si="63"/>
        <v>363000.00000000006</v>
      </c>
      <c r="X48" s="7">
        <f t="shared" si="63"/>
        <v>363000.00000000006</v>
      </c>
      <c r="Y48" s="7">
        <f t="shared" si="63"/>
        <v>363000.00000000006</v>
      </c>
      <c r="Z48" s="7">
        <f t="shared" si="63"/>
        <v>363000.00000000006</v>
      </c>
      <c r="AA48" s="7">
        <f t="shared" si="63"/>
        <v>363000.00000000006</v>
      </c>
      <c r="AB48" s="7">
        <f t="shared" si="63"/>
        <v>363000.00000000006</v>
      </c>
      <c r="AC48" s="7">
        <f t="shared" si="63"/>
        <v>363000.00000000006</v>
      </c>
      <c r="AD48" s="7">
        <f t="shared" si="63"/>
        <v>363000.00000000006</v>
      </c>
      <c r="AE48" s="7">
        <f t="shared" si="63"/>
        <v>459800.00000000012</v>
      </c>
      <c r="AF48" s="7">
        <f t="shared" si="63"/>
        <v>459800.00000000012</v>
      </c>
      <c r="AG48" s="7">
        <f t="shared" si="63"/>
        <v>459800.00000000012</v>
      </c>
      <c r="AH48" s="7">
        <f t="shared" si="63"/>
        <v>459800.00000000012</v>
      </c>
      <c r="AI48" s="7">
        <f t="shared" si="63"/>
        <v>459800.00000000012</v>
      </c>
      <c r="AJ48" s="7">
        <f t="shared" si="63"/>
        <v>459800.00000000012</v>
      </c>
      <c r="AK48" s="7">
        <f t="shared" si="63"/>
        <v>459800.00000000012</v>
      </c>
      <c r="AL48" s="7">
        <f t="shared" si="63"/>
        <v>459800.00000000012</v>
      </c>
      <c r="AM48" s="7">
        <f t="shared" si="63"/>
        <v>459800.00000000012</v>
      </c>
      <c r="AN48" s="7">
        <f t="shared" si="63"/>
        <v>459800.00000000012</v>
      </c>
      <c r="AO48" s="7">
        <f t="shared" si="63"/>
        <v>459800.00000000012</v>
      </c>
      <c r="AP48" s="7">
        <f t="shared" si="63"/>
        <v>459800.00000000012</v>
      </c>
      <c r="AQ48" s="7"/>
      <c r="AR48" s="7"/>
      <c r="AS48" s="7"/>
      <c r="AT48" s="7"/>
      <c r="AU48" s="7">
        <f t="shared" ref="AU48:AV48" si="64">AU16+AU35</f>
        <v>8305440.0000000037</v>
      </c>
      <c r="AV48" s="7">
        <f t="shared" si="64"/>
        <v>9135984.0000000037</v>
      </c>
    </row>
    <row r="49" spans="1:48" ht="15.75" customHeight="1">
      <c r="D49" s="4" t="s">
        <v>186</v>
      </c>
      <c r="G49" s="7">
        <f t="shared" ref="G49:AP49" si="65">G46-G23-G29</f>
        <v>655000</v>
      </c>
      <c r="H49" s="7">
        <f t="shared" si="65"/>
        <v>655000</v>
      </c>
      <c r="I49" s="7">
        <f t="shared" si="65"/>
        <v>655000</v>
      </c>
      <c r="J49" s="7">
        <f t="shared" si="65"/>
        <v>655000</v>
      </c>
      <c r="K49" s="7">
        <f t="shared" si="65"/>
        <v>655000</v>
      </c>
      <c r="L49" s="7">
        <f t="shared" si="65"/>
        <v>655000</v>
      </c>
      <c r="M49" s="7">
        <f t="shared" si="65"/>
        <v>705000</v>
      </c>
      <c r="N49" s="7">
        <f t="shared" si="65"/>
        <v>705000</v>
      </c>
      <c r="O49" s="7">
        <f t="shared" si="65"/>
        <v>705000</v>
      </c>
      <c r="P49" s="7">
        <f t="shared" si="65"/>
        <v>705000</v>
      </c>
      <c r="Q49" s="7">
        <f t="shared" si="65"/>
        <v>705000</v>
      </c>
      <c r="R49" s="7">
        <f t="shared" si="65"/>
        <v>705000</v>
      </c>
      <c r="S49" s="7">
        <f t="shared" si="65"/>
        <v>788700</v>
      </c>
      <c r="T49" s="7">
        <f t="shared" si="65"/>
        <v>788700</v>
      </c>
      <c r="U49" s="7">
        <f t="shared" si="65"/>
        <v>788699.99999999977</v>
      </c>
      <c r="V49" s="7">
        <f t="shared" si="65"/>
        <v>788700</v>
      </c>
      <c r="W49" s="7">
        <f t="shared" si="65"/>
        <v>788700</v>
      </c>
      <c r="X49" s="7">
        <f t="shared" si="65"/>
        <v>788700</v>
      </c>
      <c r="Y49" s="7">
        <f t="shared" si="65"/>
        <v>788700</v>
      </c>
      <c r="Z49" s="7">
        <f t="shared" si="65"/>
        <v>788700</v>
      </c>
      <c r="AA49" s="7">
        <f t="shared" si="65"/>
        <v>788700</v>
      </c>
      <c r="AB49" s="7">
        <f t="shared" si="65"/>
        <v>788699.99999999977</v>
      </c>
      <c r="AC49" s="7">
        <f t="shared" si="65"/>
        <v>788700</v>
      </c>
      <c r="AD49" s="7">
        <f t="shared" si="65"/>
        <v>788700</v>
      </c>
      <c r="AE49" s="7">
        <f t="shared" si="65"/>
        <v>942590.00000000023</v>
      </c>
      <c r="AF49" s="7">
        <f t="shared" si="65"/>
        <v>942590.00000000023</v>
      </c>
      <c r="AG49" s="7">
        <f t="shared" si="65"/>
        <v>942590.00000000023</v>
      </c>
      <c r="AH49" s="7">
        <f t="shared" si="65"/>
        <v>942590.00000000023</v>
      </c>
      <c r="AI49" s="7">
        <f t="shared" si="65"/>
        <v>942590.00000000023</v>
      </c>
      <c r="AJ49" s="7">
        <f t="shared" si="65"/>
        <v>942590.00000000023</v>
      </c>
      <c r="AK49" s="7">
        <f t="shared" si="65"/>
        <v>942590.00000000023</v>
      </c>
      <c r="AL49" s="7">
        <f t="shared" si="65"/>
        <v>942590.00000000023</v>
      </c>
      <c r="AM49" s="7">
        <f t="shared" si="65"/>
        <v>942590.00000000023</v>
      </c>
      <c r="AN49" s="7">
        <f t="shared" si="65"/>
        <v>942590.00000000023</v>
      </c>
      <c r="AO49" s="7">
        <f t="shared" si="65"/>
        <v>942590.00000000023</v>
      </c>
      <c r="AP49" s="7">
        <f t="shared" si="65"/>
        <v>942590.00000000023</v>
      </c>
      <c r="AQ49" s="7"/>
      <c r="AR49" s="7"/>
      <c r="AS49" s="7"/>
      <c r="AT49" s="7"/>
      <c r="AU49" s="7">
        <f t="shared" ref="AU49:AV49" si="66">AU46-AU23-AU29</f>
        <v>15237288.000000011</v>
      </c>
      <c r="AV49" s="7">
        <f t="shared" si="66"/>
        <v>16761016.800000008</v>
      </c>
    </row>
    <row r="50" spans="1:48" ht="15.75" customHeight="1">
      <c r="D50" s="4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</row>
    <row r="51" spans="1:48" ht="15.75" customHeight="1">
      <c r="D51" s="5" t="s">
        <v>187</v>
      </c>
      <c r="G51" s="7">
        <f>SUM(G15,G24,G39,G40,G36,G30)</f>
        <v>21</v>
      </c>
      <c r="H51" s="7">
        <f t="shared" ref="H51:AP51" si="67">SUM(H15,H24,H39,H40,H36,H30)</f>
        <v>21</v>
      </c>
      <c r="I51" s="7">
        <f t="shared" si="67"/>
        <v>21</v>
      </c>
      <c r="J51" s="7">
        <f t="shared" si="67"/>
        <v>29.5</v>
      </c>
      <c r="K51" s="7">
        <f t="shared" si="67"/>
        <v>29.5</v>
      </c>
      <c r="L51" s="7">
        <f t="shared" si="67"/>
        <v>34.333333333333329</v>
      </c>
      <c r="M51" s="7">
        <f t="shared" si="67"/>
        <v>35.333333333333329</v>
      </c>
      <c r="N51" s="7">
        <f t="shared" si="67"/>
        <v>43.166666666666671</v>
      </c>
      <c r="O51" s="7">
        <f t="shared" si="67"/>
        <v>43.166666666666671</v>
      </c>
      <c r="P51" s="7">
        <f t="shared" si="67"/>
        <v>43.166666666666671</v>
      </c>
      <c r="Q51" s="7">
        <f t="shared" si="67"/>
        <v>43.166666666666671</v>
      </c>
      <c r="R51" s="7">
        <f t="shared" si="67"/>
        <v>43.166666666666671</v>
      </c>
      <c r="S51" s="7">
        <f>SUM(S15,S24,S39,S40,S36,S30)</f>
        <v>34</v>
      </c>
      <c r="T51" s="7">
        <f t="shared" si="67"/>
        <v>34</v>
      </c>
      <c r="U51" s="7">
        <f t="shared" si="67"/>
        <v>37</v>
      </c>
      <c r="V51" s="7">
        <f t="shared" si="67"/>
        <v>34</v>
      </c>
      <c r="W51" s="7">
        <f t="shared" si="67"/>
        <v>34</v>
      </c>
      <c r="X51" s="7">
        <f t="shared" si="67"/>
        <v>32</v>
      </c>
      <c r="Y51" s="7">
        <f t="shared" si="67"/>
        <v>34</v>
      </c>
      <c r="Z51" s="7">
        <f t="shared" si="67"/>
        <v>34</v>
      </c>
      <c r="AA51" s="7">
        <f t="shared" si="67"/>
        <v>34</v>
      </c>
      <c r="AB51" s="7">
        <f t="shared" si="67"/>
        <v>37</v>
      </c>
      <c r="AC51" s="7">
        <f t="shared" si="67"/>
        <v>39</v>
      </c>
      <c r="AD51" s="7">
        <f t="shared" si="67"/>
        <v>39</v>
      </c>
      <c r="AE51" s="7">
        <f t="shared" si="67"/>
        <v>40</v>
      </c>
      <c r="AF51" s="7">
        <f t="shared" si="67"/>
        <v>40</v>
      </c>
      <c r="AG51" s="7">
        <f t="shared" si="67"/>
        <v>40</v>
      </c>
      <c r="AH51" s="7">
        <f t="shared" si="67"/>
        <v>40</v>
      </c>
      <c r="AI51" s="7">
        <f t="shared" si="67"/>
        <v>40</v>
      </c>
      <c r="AJ51" s="7">
        <f t="shared" si="67"/>
        <v>40</v>
      </c>
      <c r="AK51" s="7">
        <f t="shared" si="67"/>
        <v>40</v>
      </c>
      <c r="AL51" s="7">
        <f t="shared" si="67"/>
        <v>40</v>
      </c>
      <c r="AM51" s="7">
        <f t="shared" si="67"/>
        <v>43</v>
      </c>
      <c r="AN51" s="7">
        <f t="shared" si="67"/>
        <v>40</v>
      </c>
      <c r="AO51" s="7">
        <f t="shared" si="67"/>
        <v>40</v>
      </c>
      <c r="AP51" s="7">
        <f t="shared" si="67"/>
        <v>40</v>
      </c>
      <c r="AQ51" s="7"/>
      <c r="AR51" s="7"/>
      <c r="AS51" s="7"/>
      <c r="AT51" s="7"/>
      <c r="AU51" s="7">
        <f t="shared" ref="AU51:AV51" si="68">SUM(AU15,AU24,AU39,AU40,AU36,AU30)</f>
        <v>59.5</v>
      </c>
      <c r="AV51" s="7">
        <f t="shared" si="68"/>
        <v>69.5</v>
      </c>
    </row>
    <row r="52" spans="1:48" ht="15.75" customHeight="1"/>
    <row r="53" spans="1:48" ht="15.75" customHeight="1">
      <c r="A53" s="81" t="s">
        <v>188</v>
      </c>
      <c r="B53" s="80" t="s">
        <v>4</v>
      </c>
      <c r="C53" s="80" t="s">
        <v>5</v>
      </c>
      <c r="D53" s="80" t="s">
        <v>6</v>
      </c>
      <c r="E53" s="80" t="s">
        <v>7</v>
      </c>
      <c r="F53" s="81"/>
      <c r="G53" s="80" t="s">
        <v>8</v>
      </c>
    </row>
    <row r="54" spans="1:48" ht="15.75" customHeight="1">
      <c r="A54" s="62" t="s">
        <v>156</v>
      </c>
      <c r="B54" s="7">
        <f>SUM(G14:R14)</f>
        <v>5760000</v>
      </c>
      <c r="C54" s="7">
        <f>SUM(S14:AD14)</f>
        <v>6336000.0000000009</v>
      </c>
      <c r="D54" s="7">
        <f>SUM(AE14:AP14)</f>
        <v>6969600.0000000009</v>
      </c>
      <c r="E54" s="7">
        <f>AU14</f>
        <v>9104040.0000000019</v>
      </c>
      <c r="G54" s="7">
        <f>AV14</f>
        <v>10014444.000000004</v>
      </c>
    </row>
    <row r="55" spans="1:48" ht="15.75" customHeight="1">
      <c r="A55" s="62" t="s">
        <v>189</v>
      </c>
      <c r="B55" s="7">
        <f>SUM(G23:R23)</f>
        <v>20130000</v>
      </c>
      <c r="C55" s="7">
        <f>SUM(S23:AD23)</f>
        <v>20845000</v>
      </c>
      <c r="D55" s="7">
        <f>SUM(AE23:AP23)</f>
        <v>28810100.000000004</v>
      </c>
      <c r="E55" s="7">
        <f>AU23</f>
        <v>56700600.000000015</v>
      </c>
      <c r="G55" s="7">
        <f>AV23</f>
        <v>79588476.00000003</v>
      </c>
    </row>
    <row r="56" spans="1:48" ht="15.75" customHeight="1">
      <c r="A56" s="62" t="s">
        <v>190</v>
      </c>
      <c r="B56" s="7">
        <f>SUM(G29:R29)</f>
        <v>10860000</v>
      </c>
      <c r="C56" s="7">
        <f>SUM(S29:AD29)</f>
        <v>14256000</v>
      </c>
      <c r="D56" s="7">
        <f>SUM(AE29:AP29)</f>
        <v>15681600.000000002</v>
      </c>
      <c r="E56" s="7">
        <f>AU29</f>
        <v>17249760.000000004</v>
      </c>
      <c r="G56" s="7">
        <f t="shared" ref="G56:J56" si="69">AV29</f>
        <v>18974736.000000004</v>
      </c>
      <c r="H56" s="7">
        <f t="shared" si="69"/>
        <v>0</v>
      </c>
      <c r="I56" s="7">
        <f t="shared" si="69"/>
        <v>0</v>
      </c>
      <c r="J56" s="7">
        <f t="shared" si="69"/>
        <v>0</v>
      </c>
    </row>
    <row r="57" spans="1:48" ht="15.75" customHeight="1">
      <c r="A57" s="62" t="s">
        <v>176</v>
      </c>
      <c r="B57" s="7">
        <f>SUM(G35:R35)</f>
        <v>1500000</v>
      </c>
      <c r="C57" s="7">
        <f>SUM(S35:AD35)</f>
        <v>1980000.0000000002</v>
      </c>
      <c r="D57" s="7">
        <f>SUM(AE35:AP35)</f>
        <v>2904000.0000000005</v>
      </c>
      <c r="E57" s="7">
        <f>AU35</f>
        <v>3993000.0000000014</v>
      </c>
      <c r="G57" s="7">
        <f>AV35</f>
        <v>4392300.0000000019</v>
      </c>
    </row>
    <row r="58" spans="1:48" ht="15.75" customHeight="1">
      <c r="A58" s="62" t="s">
        <v>179</v>
      </c>
      <c r="B58" s="7">
        <f>SUM(G42:R42)</f>
        <v>900000</v>
      </c>
      <c r="C58" s="7">
        <f>SUM(S42:AD42)</f>
        <v>1148400</v>
      </c>
      <c r="D58" s="7">
        <f>SUM(AE42:AP42)</f>
        <v>1437480</v>
      </c>
      <c r="E58" s="7">
        <f>AU42</f>
        <v>2140248.0000000005</v>
      </c>
      <c r="G58" s="7">
        <f>AV42</f>
        <v>2354272.8000000012</v>
      </c>
    </row>
    <row r="59" spans="1:48" ht="15.75" customHeight="1">
      <c r="A59" s="5" t="s">
        <v>107</v>
      </c>
      <c r="B59" s="7">
        <f t="shared" ref="B59:E59" si="70">SUM(B54:B58)</f>
        <v>39150000</v>
      </c>
      <c r="C59" s="7">
        <f t="shared" si="70"/>
        <v>44565400</v>
      </c>
      <c r="D59" s="7">
        <f t="shared" si="70"/>
        <v>55802780.000000007</v>
      </c>
      <c r="E59" s="7">
        <f t="shared" si="70"/>
        <v>89187648.000000015</v>
      </c>
      <c r="G59" s="7">
        <f>SUM(G54:G58)</f>
        <v>115324228.80000003</v>
      </c>
    </row>
    <row r="60" spans="1:48" ht="15.75" customHeight="1">
      <c r="A60" s="5"/>
      <c r="B60" s="7"/>
      <c r="C60" s="7"/>
      <c r="D60" s="7"/>
      <c r="E60" s="7"/>
      <c r="G60" s="7"/>
    </row>
    <row r="61" spans="1:48" ht="15.75" customHeight="1">
      <c r="A61" s="4" t="s">
        <v>191</v>
      </c>
      <c r="B61" s="7">
        <f>SUM(G16:R16)</f>
        <v>2160000</v>
      </c>
      <c r="C61" s="7">
        <f>SUM(S16:AD16)</f>
        <v>2376000.0000000005</v>
      </c>
      <c r="D61" s="7">
        <f>SUM(AE16:AP16)</f>
        <v>2613600.0000000005</v>
      </c>
      <c r="E61" s="7">
        <f>AU16</f>
        <v>4312440.0000000019</v>
      </c>
      <c r="G61" s="7">
        <f>AV16</f>
        <v>4743684.0000000019</v>
      </c>
    </row>
    <row r="62" spans="1:48" ht="15.75" customHeight="1">
      <c r="A62" s="4" t="s">
        <v>192</v>
      </c>
      <c r="B62" s="7">
        <f t="shared" ref="B62:E62" si="71">B61+B57</f>
        <v>3660000</v>
      </c>
      <c r="C62" s="7">
        <f t="shared" si="71"/>
        <v>4356000.0000000009</v>
      </c>
      <c r="D62" s="7">
        <f t="shared" si="71"/>
        <v>5517600.0000000009</v>
      </c>
      <c r="E62" s="7">
        <f t="shared" si="71"/>
        <v>8305440.0000000037</v>
      </c>
      <c r="F62" s="7"/>
      <c r="G62" s="7">
        <f>G61+G57</f>
        <v>9135984.0000000037</v>
      </c>
    </row>
    <row r="63" spans="1:48" ht="15.75" customHeight="1"/>
    <row r="64" spans="1:48" ht="15.75" customHeight="1">
      <c r="A64" s="81" t="s">
        <v>193</v>
      </c>
      <c r="B64" s="80" t="s">
        <v>4</v>
      </c>
      <c r="C64" s="80" t="s">
        <v>5</v>
      </c>
      <c r="D64" s="80" t="s">
        <v>6</v>
      </c>
      <c r="E64" s="80" t="s">
        <v>7</v>
      </c>
      <c r="F64" s="81"/>
      <c r="G64" s="80" t="s">
        <v>8</v>
      </c>
    </row>
    <row r="65" spans="1:10" ht="15.75" customHeight="1">
      <c r="A65" s="62" t="s">
        <v>156</v>
      </c>
      <c r="B65" s="7">
        <f>R15</f>
        <v>4</v>
      </c>
      <c r="C65" s="7">
        <f>AD15</f>
        <v>4</v>
      </c>
      <c r="D65" s="7">
        <f>AP15</f>
        <v>4</v>
      </c>
      <c r="E65" s="7">
        <f>AU15</f>
        <v>5</v>
      </c>
      <c r="G65" s="7">
        <f>AV15</f>
        <v>5</v>
      </c>
    </row>
    <row r="66" spans="1:10" ht="15.75" customHeight="1">
      <c r="A66" s="62" t="s">
        <v>189</v>
      </c>
      <c r="B66" s="7">
        <f>R24</f>
        <v>24.166666666666668</v>
      </c>
      <c r="C66" s="7">
        <f>AD24</f>
        <v>20</v>
      </c>
      <c r="D66" s="7">
        <f>AP24</f>
        <v>20</v>
      </c>
      <c r="E66" s="7">
        <f>AU24</f>
        <v>36.5</v>
      </c>
      <c r="G66" s="7">
        <f>AV24</f>
        <v>46.5</v>
      </c>
    </row>
    <row r="67" spans="1:10" ht="15.75" customHeight="1">
      <c r="A67" s="62" t="s">
        <v>190</v>
      </c>
      <c r="B67" s="7">
        <f>R30</f>
        <v>10</v>
      </c>
      <c r="C67" s="7">
        <f>R30</f>
        <v>10</v>
      </c>
      <c r="D67" s="7">
        <f>AP30</f>
        <v>10</v>
      </c>
      <c r="E67" s="7">
        <f>AU30</f>
        <v>10</v>
      </c>
      <c r="G67" s="7">
        <f>AV30</f>
        <v>10</v>
      </c>
    </row>
    <row r="68" spans="1:10" ht="15.75" customHeight="1">
      <c r="A68" s="62" t="s">
        <v>176</v>
      </c>
      <c r="B68" s="7">
        <f>R36</f>
        <v>3</v>
      </c>
      <c r="C68" s="7">
        <f>AD36</f>
        <v>3</v>
      </c>
      <c r="D68" s="7">
        <f>AP36</f>
        <v>4</v>
      </c>
      <c r="E68" s="7">
        <f>AU36</f>
        <v>5</v>
      </c>
      <c r="G68" s="7">
        <f>AV36</f>
        <v>5</v>
      </c>
    </row>
    <row r="69" spans="1:10" ht="15.75" customHeight="1">
      <c r="A69" s="62" t="s">
        <v>179</v>
      </c>
      <c r="B69" s="7">
        <f>R43</f>
        <v>2</v>
      </c>
      <c r="C69" s="7">
        <f>AD43</f>
        <v>3</v>
      </c>
      <c r="D69" s="7">
        <f>AP43</f>
        <v>4</v>
      </c>
      <c r="E69" s="7">
        <f>AU43</f>
        <v>5</v>
      </c>
      <c r="G69" s="7">
        <f>AV43</f>
        <v>5</v>
      </c>
    </row>
    <row r="70" spans="1:10" ht="15.75" customHeight="1">
      <c r="A70" s="5" t="s">
        <v>107</v>
      </c>
      <c r="B70" s="7">
        <f t="shared" ref="B70:E70" si="72">SUM(B65:B69)</f>
        <v>43.166666666666671</v>
      </c>
      <c r="C70" s="7">
        <f t="shared" si="72"/>
        <v>40</v>
      </c>
      <c r="D70" s="7">
        <f t="shared" si="72"/>
        <v>42</v>
      </c>
      <c r="E70" s="7">
        <f t="shared" si="72"/>
        <v>61.5</v>
      </c>
      <c r="G70" s="7">
        <f>SUM(G65:G69)</f>
        <v>71.5</v>
      </c>
    </row>
    <row r="71" spans="1:10" ht="15.75" customHeight="1"/>
    <row r="72" spans="1:10" ht="15.75" customHeight="1"/>
    <row r="73" spans="1:10" ht="15.75" customHeight="1">
      <c r="A73" s="81" t="s">
        <v>194</v>
      </c>
      <c r="B73" s="80" t="s">
        <v>4</v>
      </c>
      <c r="C73" s="80" t="s">
        <v>5</v>
      </c>
      <c r="D73" s="80" t="s">
        <v>6</v>
      </c>
      <c r="E73" s="80" t="s">
        <v>7</v>
      </c>
      <c r="F73" s="81"/>
      <c r="G73" s="80" t="s">
        <v>8</v>
      </c>
    </row>
    <row r="74" spans="1:10" ht="15.75" customHeight="1">
      <c r="A74" s="62" t="s">
        <v>15</v>
      </c>
      <c r="B74" s="7">
        <f>'Revenue Buildup'!B43</f>
        <v>34033532.799999997</v>
      </c>
      <c r="C74" s="7">
        <f>'Revenue Buildup'!C43</f>
        <v>80249832.224830985</v>
      </c>
      <c r="D74" s="7">
        <f>'Revenue Buildup'!D43</f>
        <v>226939812.034069</v>
      </c>
      <c r="E74" s="7">
        <f>'Revenue Buildup'!E43</f>
        <v>191126635.91971558</v>
      </c>
      <c r="F74" s="7"/>
      <c r="G74" s="7">
        <f>'Revenue Buildup'!F43</f>
        <v>459738762.58368921</v>
      </c>
      <c r="H74" s="7"/>
      <c r="I74" s="7"/>
      <c r="J74" s="7"/>
    </row>
    <row r="75" spans="1:10" ht="15.75" customHeight="1">
      <c r="A75" s="62" t="s">
        <v>195</v>
      </c>
      <c r="B75" s="7">
        <f t="shared" ref="B75:E75" si="73">B55</f>
        <v>20130000</v>
      </c>
      <c r="C75" s="7">
        <f t="shared" si="73"/>
        <v>20845000</v>
      </c>
      <c r="D75" s="7">
        <f t="shared" si="73"/>
        <v>28810100.000000004</v>
      </c>
      <c r="E75" s="7">
        <f t="shared" si="73"/>
        <v>56700600.000000015</v>
      </c>
      <c r="F75" s="7"/>
      <c r="G75" s="7">
        <f>G55</f>
        <v>79588476.00000003</v>
      </c>
      <c r="H75" s="7"/>
      <c r="I75" s="7"/>
      <c r="J75" s="7"/>
    </row>
    <row r="76" spans="1:10" ht="15.75" customHeight="1">
      <c r="A76" s="62" t="s">
        <v>196</v>
      </c>
      <c r="B76" s="7">
        <f t="shared" ref="B76:E76" si="74">B74-B75</f>
        <v>13903532.799999997</v>
      </c>
      <c r="C76" s="7">
        <f t="shared" si="74"/>
        <v>59404832.224830985</v>
      </c>
      <c r="D76" s="7">
        <f t="shared" si="74"/>
        <v>198129712.034069</v>
      </c>
      <c r="E76" s="7">
        <f t="shared" si="74"/>
        <v>134426035.91971558</v>
      </c>
      <c r="F76" s="7"/>
      <c r="G76" s="7">
        <f>G74-G75</f>
        <v>380150286.58368921</v>
      </c>
      <c r="H76" s="7"/>
      <c r="I76" s="7"/>
      <c r="J76" s="7"/>
    </row>
    <row r="77" spans="1:10" ht="15.75" customHeight="1">
      <c r="B77" s="29">
        <f t="shared" ref="B77:E77" si="75">B76/B74</f>
        <v>0.40852452437732228</v>
      </c>
      <c r="C77" s="29">
        <f t="shared" si="75"/>
        <v>0.74024867813306006</v>
      </c>
      <c r="D77" s="29">
        <f t="shared" si="75"/>
        <v>0.87304959961950213</v>
      </c>
      <c r="E77" s="29">
        <f t="shared" si="75"/>
        <v>0.70333491338267695</v>
      </c>
      <c r="F77" s="29"/>
      <c r="G77" s="29">
        <f>G76/G74</f>
        <v>0.8268832596304907</v>
      </c>
      <c r="H77" s="29"/>
      <c r="I77" s="29"/>
      <c r="J77" s="29"/>
    </row>
    <row r="78" spans="1:10" ht="15.75" customHeight="1">
      <c r="B78" s="29"/>
      <c r="C78" s="29"/>
      <c r="D78" s="29"/>
      <c r="E78" s="29"/>
      <c r="F78" s="29"/>
      <c r="G78" s="29"/>
    </row>
    <row r="79" spans="1:10" ht="15.75" customHeight="1">
      <c r="A79" s="62" t="s">
        <v>197</v>
      </c>
      <c r="B79" s="7">
        <f t="shared" ref="B79:E79" si="76">B59</f>
        <v>39150000</v>
      </c>
      <c r="C79" s="7">
        <f t="shared" si="76"/>
        <v>44565400</v>
      </c>
      <c r="D79" s="7">
        <f t="shared" si="76"/>
        <v>55802780.000000007</v>
      </c>
      <c r="E79" s="7">
        <f t="shared" si="76"/>
        <v>89187648.000000015</v>
      </c>
      <c r="F79" s="7"/>
      <c r="G79" s="7">
        <f>G59</f>
        <v>115324228.80000003</v>
      </c>
    </row>
    <row r="80" spans="1:10" ht="15.75" customHeight="1">
      <c r="A80" s="62" t="s">
        <v>198</v>
      </c>
      <c r="B80" s="7">
        <f t="shared" ref="B80:E80" si="77">B74-B79</f>
        <v>-5116467.200000003</v>
      </c>
      <c r="C80" s="7">
        <f t="shared" si="77"/>
        <v>35684432.224830985</v>
      </c>
      <c r="D80" s="7">
        <f t="shared" si="77"/>
        <v>171137032.034069</v>
      </c>
      <c r="E80" s="7">
        <f t="shared" si="77"/>
        <v>101938987.91971557</v>
      </c>
      <c r="F80" s="7"/>
      <c r="G80" s="7">
        <f>G74-G79</f>
        <v>344414533.7836892</v>
      </c>
    </row>
    <row r="81" spans="2:7" ht="15.75" customHeight="1">
      <c r="B81" s="29">
        <f t="shared" ref="B81:E81" si="78">B80/B74</f>
        <v>-0.15033605914693651</v>
      </c>
      <c r="C81" s="29">
        <f t="shared" si="78"/>
        <v>0.44466675176162512</v>
      </c>
      <c r="D81" s="29">
        <f t="shared" si="78"/>
        <v>0.75410757812902973</v>
      </c>
      <c r="E81" s="29">
        <f t="shared" si="78"/>
        <v>0.53335835389545561</v>
      </c>
      <c r="F81" s="29"/>
      <c r="G81" s="29">
        <f>G80/G74</f>
        <v>0.74915269673610174</v>
      </c>
    </row>
    <row r="82" spans="2:7" ht="15.75" customHeight="1"/>
    <row r="83" spans="2:7" ht="15.75" customHeight="1"/>
    <row r="84" spans="2:7" ht="15.75" customHeight="1"/>
    <row r="85" spans="2:7" ht="15.75" customHeight="1">
      <c r="B85" s="62"/>
      <c r="C85" s="62"/>
      <c r="D85" s="62"/>
      <c r="E85" s="62"/>
      <c r="G85" s="62"/>
    </row>
    <row r="86" spans="2:7" ht="15.75" customHeight="1"/>
    <row r="87" spans="2:7" ht="15.75" customHeight="1"/>
    <row r="88" spans="2:7" ht="15.75" customHeight="1"/>
    <row r="89" spans="2:7" ht="15.75" customHeight="1"/>
    <row r="90" spans="2:7" ht="15.75" customHeight="1"/>
    <row r="91" spans="2:7" ht="15.75" customHeight="1"/>
    <row r="92" spans="2:7" ht="15.75" customHeight="1"/>
    <row r="93" spans="2:7" ht="15.75" customHeight="1"/>
    <row r="94" spans="2:7" ht="15.75" customHeight="1"/>
    <row r="95" spans="2:7" ht="15.75" customHeight="1"/>
    <row r="96" spans="2:7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C8:E8"/>
    <mergeCell ref="AR8:AS8"/>
    <mergeCell ref="AR17:AS17"/>
    <mergeCell ref="AR31:AS31"/>
    <mergeCell ref="AR37:AS3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Guest User</cp:lastModifiedBy>
  <cp:revision/>
  <dcterms:created xsi:type="dcterms:W3CDTF">2023-11-06T11:30:48Z</dcterms:created>
  <dcterms:modified xsi:type="dcterms:W3CDTF">2024-04-10T06:43:00Z</dcterms:modified>
  <cp:category/>
  <cp:contentStatus/>
</cp:coreProperties>
</file>